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126"/>
  <workbookPr codeName="ThisWorkbook"/>
  <mc:AlternateContent xmlns:mc="http://schemas.openxmlformats.org/markup-compatibility/2006">
    <mc:Choice Requires="x15">
      <x15ac:absPath xmlns:x15ac="http://schemas.microsoft.com/office/spreadsheetml/2010/11/ac" url="https://btu1-my.sharepoint.com/personal/kgomez-gane_peabodyenergy_com/Documents/Documents/MSP KGG working folder/Codrilla/PRC Plan final response to RFI 14 Feb 2022/"/>
    </mc:Choice>
  </mc:AlternateContent>
  <xr:revisionPtr revIDLastSave="3" documentId="8_{122C094A-2B89-4ADE-BD0C-079203783E47}" xr6:coauthVersionLast="40" xr6:coauthVersionMax="40" xr10:uidLastSave="{96C0FD88-6819-4350-A5DE-4516B42BDF79}"/>
  <bookViews>
    <workbookView xWindow="0" yWindow="0" windowWidth="23040" windowHeight="6710" activeTab="1" xr2:uid="{00000000-000D-0000-FFFF-FFFF00000000}"/>
  </bookViews>
  <sheets>
    <sheet name="Instructions" sheetId="1" r:id="rId1"/>
    <sheet name="RA1- Elevated Dumps Upper" sheetId="2" r:id="rId2"/>
    <sheet name="RA2-Elevated Dumps Slopes" sheetId="11" r:id="rId3"/>
    <sheet name="RA3-Backfilled Pits" sheetId="12" r:id="rId4"/>
    <sheet name="RA4-Tracks_Roads" sheetId="13" r:id="rId5"/>
    <sheet name="RA5-ROM" sheetId="14" r:id="rId6"/>
    <sheet name="RA6-CHPP" sheetId="15" r:id="rId7"/>
    <sheet name="RA7-Mine Infrastructure Area" sheetId="16" r:id="rId8"/>
    <sheet name="RA8-Water Management Structures" sheetId="17" r:id="rId9"/>
    <sheet name="RA9-Codisposal Upper" sheetId="18" r:id="rId10"/>
    <sheet name="RA10-Codisposal Slopes" sheetId="19" r:id="rId11"/>
    <sheet name="IA1-Final Void inc Ramps" sheetId="4" r:id="rId12"/>
    <sheet name="Rehabilitation Area Milestones" sheetId="20" r:id="rId13"/>
    <sheet name="Improvement Area Milestones" sheetId="21" r:id="rId14"/>
    <sheet name="Summary" sheetId="22" r:id="rId15"/>
  </sheets>
  <definedNames>
    <definedName name="_xlnm.Print_Area" localSheetId="13">'Improvement Area Milestones'!$A$1:$C$12</definedName>
    <definedName name="_xlnm.Print_Area" localSheetId="12">Table14[#All]</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26" i="13" l="1"/>
  <c r="C26" i="13"/>
  <c r="C12" i="4" l="1"/>
  <c r="C11" i="4"/>
  <c r="D18" i="19"/>
  <c r="D13" i="19"/>
  <c r="D14" i="19"/>
  <c r="D15" i="19"/>
  <c r="D12" i="19"/>
  <c r="C11" i="19"/>
  <c r="D11" i="19" s="1"/>
  <c r="D18" i="18"/>
  <c r="D13" i="18"/>
  <c r="D14" i="18"/>
  <c r="D15" i="18"/>
  <c r="D12" i="18"/>
  <c r="C11" i="18"/>
  <c r="D11" i="18" s="1"/>
  <c r="G13" i="17"/>
  <c r="G14" i="17"/>
  <c r="G12" i="17"/>
  <c r="E11" i="17"/>
  <c r="F11" i="17" s="1"/>
  <c r="G11" i="17" s="1"/>
  <c r="D13" i="16"/>
  <c r="D14" i="16"/>
  <c r="D12" i="16"/>
  <c r="C11" i="16"/>
  <c r="D11" i="16" s="1"/>
  <c r="D13" i="15"/>
  <c r="D14" i="15"/>
  <c r="D12" i="15"/>
  <c r="C11" i="15"/>
  <c r="D11" i="15" s="1"/>
  <c r="C12" i="14"/>
  <c r="C13" i="14"/>
  <c r="C14" i="14"/>
  <c r="C11" i="14"/>
  <c r="H16" i="13"/>
  <c r="I16" i="13" s="1"/>
  <c r="J16" i="13" s="1"/>
  <c r="K16" i="13" s="1"/>
  <c r="H15" i="13"/>
  <c r="I15" i="13" s="1"/>
  <c r="J15" i="13" s="1"/>
  <c r="K15" i="13" s="1"/>
  <c r="E13" i="13"/>
  <c r="E14" i="13"/>
  <c r="E12" i="13"/>
  <c r="J16" i="12"/>
  <c r="K16" i="12" s="1"/>
  <c r="I12" i="12"/>
  <c r="J12" i="12" s="1"/>
  <c r="K12" i="12" s="1"/>
  <c r="I13" i="12"/>
  <c r="J13" i="12" s="1"/>
  <c r="K13" i="12" s="1"/>
  <c r="I11" i="12"/>
  <c r="J11" i="12" s="1"/>
  <c r="K11" i="12" s="1"/>
  <c r="Q16" i="11"/>
  <c r="R16" i="11" s="1"/>
  <c r="Q12" i="11"/>
  <c r="R12" i="11" s="1"/>
  <c r="Q13" i="11"/>
  <c r="R13" i="11" s="1"/>
  <c r="Q11" i="11"/>
  <c r="R11" i="11" s="1"/>
  <c r="G16" i="2"/>
  <c r="H16" i="2" s="1"/>
  <c r="I16" i="2" s="1"/>
  <c r="F12" i="2"/>
  <c r="G12" i="2" s="1"/>
  <c r="H12" i="2" s="1"/>
  <c r="I12" i="2" s="1"/>
  <c r="F13" i="2"/>
  <c r="G13" i="2" s="1"/>
  <c r="H13" i="2" s="1"/>
  <c r="I13" i="2" s="1"/>
  <c r="F11" i="2"/>
  <c r="G11" i="2" s="1"/>
  <c r="H11" i="2" s="1"/>
  <c r="I11" i="2" s="1"/>
  <c r="F12" i="13" l="1"/>
  <c r="G12" i="13" s="1"/>
  <c r="H12" i="13" s="1"/>
  <c r="I12" i="13" s="1"/>
  <c r="J12" i="13" s="1"/>
  <c r="K12" i="13" s="1"/>
  <c r="F14" i="13"/>
  <c r="F13" i="13"/>
  <c r="G13" i="13" s="1"/>
  <c r="H13" i="13" s="1"/>
  <c r="I13" i="13" s="1"/>
  <c r="J13" i="13" s="1"/>
  <c r="K13" i="13" s="1"/>
  <c r="G14" i="13"/>
  <c r="B28" i="22"/>
  <c r="B29" i="22"/>
  <c r="B30" i="22"/>
  <c r="B31" i="22"/>
  <c r="B32" i="22"/>
  <c r="B33" i="22"/>
  <c r="B34" i="22"/>
  <c r="B35" i="22"/>
  <c r="B36" i="22"/>
  <c r="B37" i="22"/>
  <c r="B38" i="22"/>
  <c r="B39" i="22"/>
  <c r="B27" i="22"/>
  <c r="H14" i="13" l="1"/>
  <c r="I14" i="13" s="1"/>
  <c r="J14" i="13" s="1"/>
  <c r="K14" i="13" s="1"/>
  <c r="B24" i="16"/>
  <c r="C24" i="16"/>
  <c r="D24" i="16"/>
  <c r="E24" i="16"/>
  <c r="F24" i="16"/>
  <c r="G24" i="16"/>
  <c r="H24" i="16"/>
  <c r="I24" i="16"/>
  <c r="J24" i="16"/>
  <c r="K24" i="16"/>
  <c r="E6" i="17" l="1"/>
  <c r="C27" i="4" l="1"/>
  <c r="D27" i="4"/>
  <c r="E27" i="4"/>
  <c r="F27" i="4"/>
  <c r="G27" i="4"/>
  <c r="H27" i="4"/>
  <c r="I27" i="4"/>
  <c r="J27" i="4"/>
  <c r="K27" i="4"/>
  <c r="L27" i="4"/>
  <c r="M27" i="4"/>
  <c r="N27" i="4"/>
  <c r="O27" i="4"/>
  <c r="P27" i="4"/>
  <c r="Q27" i="4"/>
  <c r="R27" i="4"/>
  <c r="S27" i="4"/>
  <c r="T27" i="4"/>
  <c r="U27" i="4"/>
  <c r="V27" i="4"/>
  <c r="B27" i="4"/>
  <c r="C26" i="19"/>
  <c r="D26" i="19"/>
  <c r="E26" i="19"/>
  <c r="F26" i="19"/>
  <c r="G26" i="19"/>
  <c r="H26" i="19"/>
  <c r="I26" i="19"/>
  <c r="J26" i="19"/>
  <c r="K26" i="19"/>
  <c r="L26" i="19"/>
  <c r="M26" i="19"/>
  <c r="N26" i="19"/>
  <c r="O26" i="19"/>
  <c r="P26" i="19"/>
  <c r="Q26" i="19"/>
  <c r="R26" i="19"/>
  <c r="S26" i="19"/>
  <c r="T26" i="19"/>
  <c r="U26" i="19"/>
  <c r="B26" i="19"/>
  <c r="C26" i="18"/>
  <c r="D26" i="18"/>
  <c r="E26" i="18"/>
  <c r="F26" i="18"/>
  <c r="G26" i="18"/>
  <c r="H26" i="18"/>
  <c r="I26" i="18"/>
  <c r="J26" i="18"/>
  <c r="K26" i="18"/>
  <c r="B26" i="18"/>
  <c r="C25" i="17"/>
  <c r="D25" i="17"/>
  <c r="E25" i="17"/>
  <c r="F25" i="17"/>
  <c r="G25" i="17"/>
  <c r="H25" i="17"/>
  <c r="I25" i="17"/>
  <c r="J25" i="17"/>
  <c r="K25" i="17"/>
  <c r="B25" i="17"/>
  <c r="C24" i="15"/>
  <c r="D24" i="15"/>
  <c r="E24" i="15"/>
  <c r="F24" i="15"/>
  <c r="G24" i="15"/>
  <c r="H24" i="15"/>
  <c r="I24" i="15"/>
  <c r="J24" i="15"/>
  <c r="K24" i="15"/>
  <c r="B24" i="15"/>
  <c r="C24" i="14"/>
  <c r="D24" i="14"/>
  <c r="E24" i="14"/>
  <c r="F24" i="14"/>
  <c r="G24" i="14"/>
  <c r="H24" i="14"/>
  <c r="I24" i="14"/>
  <c r="J24" i="14"/>
  <c r="K24" i="14"/>
  <c r="B24" i="14"/>
  <c r="D26" i="13"/>
  <c r="E26" i="13"/>
  <c r="F26" i="13"/>
  <c r="G26" i="13"/>
  <c r="H26" i="13"/>
  <c r="I26" i="13"/>
  <c r="J26" i="13"/>
  <c r="K26" i="13"/>
  <c r="C25" i="12"/>
  <c r="D25" i="12"/>
  <c r="E25" i="12"/>
  <c r="F25" i="12"/>
  <c r="G25" i="12"/>
  <c r="H25" i="12"/>
  <c r="B25" i="12"/>
  <c r="C24" i="11"/>
  <c r="E24" i="11"/>
  <c r="D24" i="11"/>
  <c r="B24" i="11"/>
  <c r="D41" i="22" l="1"/>
  <c r="D58" i="22" s="1"/>
  <c r="P9" i="22" l="1"/>
  <c r="E9" i="22"/>
  <c r="E41" i="22" l="1"/>
  <c r="D1" i="22"/>
  <c r="D12" i="22" l="1"/>
  <c r="D42" i="22" s="1"/>
  <c r="D25" i="22"/>
  <c r="D39" i="22" s="1"/>
  <c r="D24" i="22"/>
  <c r="D38" i="22" s="1"/>
  <c r="D23" i="22"/>
  <c r="D37" i="22" s="1"/>
  <c r="D22" i="22"/>
  <c r="D36" i="22" s="1"/>
  <c r="D21" i="22"/>
  <c r="D35" i="22" s="1"/>
  <c r="D20" i="22"/>
  <c r="D34" i="22" s="1"/>
  <c r="D19" i="22"/>
  <c r="D33" i="22" s="1"/>
  <c r="D18" i="22"/>
  <c r="D32" i="22" s="1"/>
  <c r="D17" i="22"/>
  <c r="D31" i="22" s="1"/>
  <c r="D16" i="22"/>
  <c r="D30" i="22" s="1"/>
  <c r="D15" i="22"/>
  <c r="D29" i="22" s="1"/>
  <c r="D14" i="22"/>
  <c r="D28" i="22" s="1"/>
  <c r="D13" i="22"/>
  <c r="D27" i="22" s="1"/>
  <c r="E58" i="22"/>
  <c r="F41" i="22"/>
  <c r="V26" i="19"/>
  <c r="W26" i="19"/>
  <c r="K25" i="12"/>
  <c r="W27" i="4"/>
  <c r="X27" i="4"/>
  <c r="E1" i="22"/>
  <c r="D2" i="22"/>
  <c r="F1" i="22"/>
  <c r="E2" i="22"/>
  <c r="D47" i="22" l="1"/>
  <c r="D55" i="22" s="1"/>
  <c r="F12" i="22"/>
  <c r="F42" i="22" s="1"/>
  <c r="F25" i="22"/>
  <c r="F24" i="22"/>
  <c r="F23" i="22"/>
  <c r="F22" i="22"/>
  <c r="F21" i="22"/>
  <c r="F20" i="22"/>
  <c r="F19" i="22"/>
  <c r="F18" i="22"/>
  <c r="F17" i="22"/>
  <c r="F16" i="22"/>
  <c r="F15" i="22"/>
  <c r="F14" i="22"/>
  <c r="F13" i="22"/>
  <c r="E12" i="22"/>
  <c r="E42" i="22" s="1"/>
  <c r="E25" i="22"/>
  <c r="E39" i="22" s="1"/>
  <c r="F39" i="22" s="1"/>
  <c r="E24" i="22"/>
  <c r="E38" i="22" s="1"/>
  <c r="E23" i="22"/>
  <c r="E37" i="22" s="1"/>
  <c r="E22" i="22"/>
  <c r="E36" i="22" s="1"/>
  <c r="E21" i="22"/>
  <c r="E35" i="22" s="1"/>
  <c r="E20" i="22"/>
  <c r="E34" i="22" s="1"/>
  <c r="E19" i="22"/>
  <c r="E33" i="22" s="1"/>
  <c r="F33" i="22" s="1"/>
  <c r="E18" i="22"/>
  <c r="E32" i="22" s="1"/>
  <c r="E17" i="22"/>
  <c r="E31" i="22" s="1"/>
  <c r="E16" i="22"/>
  <c r="E30" i="22" s="1"/>
  <c r="E15" i="22"/>
  <c r="E29" i="22" s="1"/>
  <c r="E14" i="22"/>
  <c r="E28" i="22" s="1"/>
  <c r="E13" i="22"/>
  <c r="E27" i="22" s="1"/>
  <c r="G41" i="22"/>
  <c r="F58" i="22"/>
  <c r="D45" i="22"/>
  <c r="D61" i="22" s="1"/>
  <c r="Y27" i="4"/>
  <c r="I25" i="12"/>
  <c r="I24" i="11"/>
  <c r="J24" i="11"/>
  <c r="F24" i="11"/>
  <c r="X26" i="19"/>
  <c r="G1" i="22"/>
  <c r="F2" i="22"/>
  <c r="F30" i="22" l="1"/>
  <c r="F32" i="22"/>
  <c r="F31" i="22"/>
  <c r="E47" i="22"/>
  <c r="E55" i="22" s="1"/>
  <c r="F27" i="22"/>
  <c r="F37" i="22"/>
  <c r="F36" i="22"/>
  <c r="F28" i="22"/>
  <c r="F34" i="22"/>
  <c r="F38" i="22"/>
  <c r="G12" i="22"/>
  <c r="G42" i="22" s="1"/>
  <c r="G25" i="22"/>
  <c r="G39" i="22" s="1"/>
  <c r="G24" i="22"/>
  <c r="G38" i="22" s="1"/>
  <c r="G23" i="22"/>
  <c r="G22" i="22"/>
  <c r="G36" i="22" s="1"/>
  <c r="G21" i="22"/>
  <c r="G20" i="22"/>
  <c r="G19" i="22"/>
  <c r="G33" i="22" s="1"/>
  <c r="G18" i="22"/>
  <c r="G17" i="22"/>
  <c r="G31" i="22" s="1"/>
  <c r="G16" i="22"/>
  <c r="G30" i="22" s="1"/>
  <c r="G15" i="22"/>
  <c r="G14" i="22"/>
  <c r="G13" i="22"/>
  <c r="H41" i="22"/>
  <c r="G58" i="22"/>
  <c r="F29" i="22"/>
  <c r="F35" i="22"/>
  <c r="F47" i="22" s="1"/>
  <c r="E45" i="22"/>
  <c r="E61" i="22" s="1"/>
  <c r="D43" i="22"/>
  <c r="D44" i="22"/>
  <c r="D46" i="22"/>
  <c r="Z27" i="4"/>
  <c r="Y26" i="19"/>
  <c r="G24" i="11"/>
  <c r="H24" i="11"/>
  <c r="J25" i="12"/>
  <c r="H1" i="22"/>
  <c r="G2" i="22"/>
  <c r="G32" i="22" l="1"/>
  <c r="G34" i="22"/>
  <c r="G37" i="22"/>
  <c r="G27" i="22"/>
  <c r="G28" i="22"/>
  <c r="G29" i="22"/>
  <c r="H12" i="22"/>
  <c r="H42" i="22" s="1"/>
  <c r="H25" i="22"/>
  <c r="H39" i="22" s="1"/>
  <c r="H24" i="22"/>
  <c r="H38" i="22" s="1"/>
  <c r="H23" i="22"/>
  <c r="H37" i="22" s="1"/>
  <c r="H22" i="22"/>
  <c r="H36" i="22" s="1"/>
  <c r="H21" i="22"/>
  <c r="H20" i="22"/>
  <c r="H19" i="22"/>
  <c r="H33" i="22" s="1"/>
  <c r="H18" i="22"/>
  <c r="H17" i="22"/>
  <c r="H31" i="22" s="1"/>
  <c r="H16" i="22"/>
  <c r="H30" i="22" s="1"/>
  <c r="H15" i="22"/>
  <c r="H14" i="22"/>
  <c r="H28" i="22" s="1"/>
  <c r="H13" i="22"/>
  <c r="H27" i="22" s="1"/>
  <c r="I41" i="22"/>
  <c r="H58" i="22"/>
  <c r="G35" i="22"/>
  <c r="G47" i="22" s="1"/>
  <c r="D59" i="22"/>
  <c r="D51" i="22"/>
  <c r="D54" i="22"/>
  <c r="D62" i="22"/>
  <c r="D53" i="22"/>
  <c r="D60" i="22"/>
  <c r="D50" i="22"/>
  <c r="D52" i="22"/>
  <c r="E46" i="22"/>
  <c r="E44" i="22"/>
  <c r="E43" i="22"/>
  <c r="F45" i="22"/>
  <c r="F61" i="22" s="1"/>
  <c r="F55" i="22"/>
  <c r="O24" i="11"/>
  <c r="AA27" i="4"/>
  <c r="M24" i="11"/>
  <c r="N24" i="11"/>
  <c r="K24" i="11"/>
  <c r="L24" i="11"/>
  <c r="I1" i="22"/>
  <c r="H2" i="22"/>
  <c r="H32" i="22" l="1"/>
  <c r="H34" i="22"/>
  <c r="H29" i="22"/>
  <c r="I12" i="22"/>
  <c r="I42" i="22" s="1"/>
  <c r="I25" i="22"/>
  <c r="I39" i="22" s="1"/>
  <c r="I24" i="22"/>
  <c r="I38" i="22" s="1"/>
  <c r="I23" i="22"/>
  <c r="I37" i="22" s="1"/>
  <c r="I22" i="22"/>
  <c r="I36" i="22" s="1"/>
  <c r="I21" i="22"/>
  <c r="I20" i="22"/>
  <c r="I19" i="22"/>
  <c r="I33" i="22" s="1"/>
  <c r="I18" i="22"/>
  <c r="I17" i="22"/>
  <c r="I31" i="22" s="1"/>
  <c r="I16" i="22"/>
  <c r="I30" i="22" s="1"/>
  <c r="I15" i="22"/>
  <c r="I29" i="22" s="1"/>
  <c r="I14" i="22"/>
  <c r="I28" i="22" s="1"/>
  <c r="I13" i="22"/>
  <c r="I27" i="22" s="1"/>
  <c r="J41" i="22"/>
  <c r="I58" i="22"/>
  <c r="H35" i="22"/>
  <c r="H47" i="22" s="1"/>
  <c r="E59" i="22"/>
  <c r="E51" i="22"/>
  <c r="E53" i="22"/>
  <c r="E60" i="22"/>
  <c r="E54" i="22"/>
  <c r="E62" i="22"/>
  <c r="E50" i="22"/>
  <c r="G55" i="22"/>
  <c r="G45" i="22"/>
  <c r="G61" i="22" s="1"/>
  <c r="F43" i="22"/>
  <c r="F44" i="22"/>
  <c r="F46" i="22"/>
  <c r="E52" i="22"/>
  <c r="Z26" i="19"/>
  <c r="AB27" i="4"/>
  <c r="AA26" i="19"/>
  <c r="P24" i="11"/>
  <c r="Q24" i="11"/>
  <c r="R24" i="11"/>
  <c r="J1" i="22"/>
  <c r="I2" i="22"/>
  <c r="I32" i="22" l="1"/>
  <c r="I34" i="22"/>
  <c r="J12" i="22"/>
  <c r="J42" i="22" s="1"/>
  <c r="J25" i="22"/>
  <c r="J39" i="22" s="1"/>
  <c r="J24" i="22"/>
  <c r="J38" i="22" s="1"/>
  <c r="J23" i="22"/>
  <c r="J37" i="22" s="1"/>
  <c r="J22" i="22"/>
  <c r="J36" i="22" s="1"/>
  <c r="J21" i="22"/>
  <c r="J20" i="22"/>
  <c r="J19" i="22"/>
  <c r="J33" i="22" s="1"/>
  <c r="J18" i="22"/>
  <c r="J32" i="22" s="1"/>
  <c r="J17" i="22"/>
  <c r="J31" i="22" s="1"/>
  <c r="J16" i="22"/>
  <c r="J30" i="22" s="1"/>
  <c r="J15" i="22"/>
  <c r="J29" i="22" s="1"/>
  <c r="J14" i="22"/>
  <c r="J28" i="22" s="1"/>
  <c r="J13" i="22"/>
  <c r="J27" i="22" s="1"/>
  <c r="J58" i="22"/>
  <c r="K41" i="22"/>
  <c r="I35" i="22"/>
  <c r="I47" i="22" s="1"/>
  <c r="F59" i="22"/>
  <c r="F51" i="22"/>
  <c r="F54" i="22"/>
  <c r="F62" i="22"/>
  <c r="F53" i="22"/>
  <c r="F60" i="22"/>
  <c r="F50" i="22"/>
  <c r="G46" i="22"/>
  <c r="G43" i="22"/>
  <c r="H45" i="22"/>
  <c r="H61" i="22" s="1"/>
  <c r="G44" i="22"/>
  <c r="F52" i="22"/>
  <c r="H55" i="22"/>
  <c r="AC27" i="4"/>
  <c r="AB26" i="19"/>
  <c r="K1" i="22"/>
  <c r="J2" i="22"/>
  <c r="J34" i="22" l="1"/>
  <c r="K12" i="22"/>
  <c r="K42" i="22" s="1"/>
  <c r="K25" i="22"/>
  <c r="K39" i="22" s="1"/>
  <c r="K24" i="22"/>
  <c r="K38" i="22" s="1"/>
  <c r="K23" i="22"/>
  <c r="K37" i="22" s="1"/>
  <c r="K22" i="22"/>
  <c r="K36" i="22" s="1"/>
  <c r="K21" i="22"/>
  <c r="K20" i="22"/>
  <c r="K34" i="22" s="1"/>
  <c r="K19" i="22"/>
  <c r="K33" i="22" s="1"/>
  <c r="K18" i="22"/>
  <c r="K32" i="22" s="1"/>
  <c r="K17" i="22"/>
  <c r="K31" i="22" s="1"/>
  <c r="K16" i="22"/>
  <c r="K30" i="22" s="1"/>
  <c r="K15" i="22"/>
  <c r="K29" i="22" s="1"/>
  <c r="K14" i="22"/>
  <c r="K28" i="22" s="1"/>
  <c r="K13" i="22"/>
  <c r="K27" i="22" s="1"/>
  <c r="L41" i="22"/>
  <c r="K58" i="22"/>
  <c r="J35" i="22"/>
  <c r="J47" i="22" s="1"/>
  <c r="G59" i="22"/>
  <c r="G51" i="22"/>
  <c r="G54" i="22"/>
  <c r="G62" i="22"/>
  <c r="G53" i="22"/>
  <c r="G60" i="22"/>
  <c r="G50" i="22"/>
  <c r="I45" i="22"/>
  <c r="I61" i="22" s="1"/>
  <c r="G52" i="22"/>
  <c r="H43" i="22"/>
  <c r="H46" i="22"/>
  <c r="I55" i="22"/>
  <c r="H44" i="22"/>
  <c r="AC26" i="19"/>
  <c r="L1" i="22"/>
  <c r="K2" i="22"/>
  <c r="L12" i="22" l="1"/>
  <c r="L42" i="22" s="1"/>
  <c r="L25" i="22"/>
  <c r="L39" i="22" s="1"/>
  <c r="L24" i="22"/>
  <c r="L38" i="22" s="1"/>
  <c r="L23" i="22"/>
  <c r="L37" i="22" s="1"/>
  <c r="L22" i="22"/>
  <c r="L36" i="22" s="1"/>
  <c r="L21" i="22"/>
  <c r="L20" i="22"/>
  <c r="L34" i="22" s="1"/>
  <c r="L19" i="22"/>
  <c r="L33" i="22" s="1"/>
  <c r="L18" i="22"/>
  <c r="L32" i="22" s="1"/>
  <c r="L17" i="22"/>
  <c r="L31" i="22" s="1"/>
  <c r="L16" i="22"/>
  <c r="L30" i="22" s="1"/>
  <c r="L15" i="22"/>
  <c r="L29" i="22" s="1"/>
  <c r="L14" i="22"/>
  <c r="L28" i="22" s="1"/>
  <c r="L13" i="22"/>
  <c r="L27" i="22" s="1"/>
  <c r="K46" i="22"/>
  <c r="K44" i="22"/>
  <c r="K43" i="22"/>
  <c r="M41" i="22"/>
  <c r="L58" i="22"/>
  <c r="K45" i="22"/>
  <c r="K35" i="22"/>
  <c r="K47" i="22" s="1"/>
  <c r="H59" i="22"/>
  <c r="H51" i="22"/>
  <c r="H53" i="22"/>
  <c r="H60" i="22"/>
  <c r="H54" i="22"/>
  <c r="H62" i="22"/>
  <c r="H50" i="22"/>
  <c r="J44" i="22"/>
  <c r="I44" i="22"/>
  <c r="H52" i="22"/>
  <c r="J55" i="22"/>
  <c r="I46" i="22"/>
  <c r="J43" i="22"/>
  <c r="I43" i="22"/>
  <c r="J45" i="22"/>
  <c r="AD26" i="19"/>
  <c r="M1" i="22"/>
  <c r="L2" i="22"/>
  <c r="K52" i="22" l="1"/>
  <c r="M12" i="22"/>
  <c r="M42" i="22" s="1"/>
  <c r="M25" i="22"/>
  <c r="M39" i="22" s="1"/>
  <c r="M24" i="22"/>
  <c r="M38" i="22" s="1"/>
  <c r="M23" i="22"/>
  <c r="M37" i="22" s="1"/>
  <c r="M22" i="22"/>
  <c r="M36" i="22" s="1"/>
  <c r="M21" i="22"/>
  <c r="M20" i="22"/>
  <c r="M34" i="22" s="1"/>
  <c r="M19" i="22"/>
  <c r="M33" i="22" s="1"/>
  <c r="M18" i="22"/>
  <c r="M32" i="22" s="1"/>
  <c r="M17" i="22"/>
  <c r="M31" i="22" s="1"/>
  <c r="M16" i="22"/>
  <c r="M30" i="22" s="1"/>
  <c r="M15" i="22"/>
  <c r="M29" i="22" s="1"/>
  <c r="M14" i="22"/>
  <c r="M28" i="22" s="1"/>
  <c r="M13" i="22"/>
  <c r="M27" i="22" s="1"/>
  <c r="N41" i="22"/>
  <c r="M58" i="22"/>
  <c r="K51" i="22"/>
  <c r="K50" i="22"/>
  <c r="L43" i="22"/>
  <c r="L59" i="22" s="1"/>
  <c r="L44" i="22"/>
  <c r="L60" i="22" s="1"/>
  <c r="L35" i="22"/>
  <c r="L47" i="22" s="1"/>
  <c r="I59" i="22"/>
  <c r="I51" i="22"/>
  <c r="J61" i="22"/>
  <c r="K61" i="22"/>
  <c r="I53" i="22"/>
  <c r="I60" i="22"/>
  <c r="I54" i="22"/>
  <c r="I62" i="22"/>
  <c r="J60" i="22"/>
  <c r="K60" i="22"/>
  <c r="J59" i="22"/>
  <c r="K59" i="22"/>
  <c r="I50" i="22"/>
  <c r="J52" i="22"/>
  <c r="J46" i="22"/>
  <c r="J51" i="22" s="1"/>
  <c r="K53" i="22"/>
  <c r="K55" i="22"/>
  <c r="I52" i="22"/>
  <c r="J53" i="22"/>
  <c r="AE26" i="19"/>
  <c r="N1" i="22"/>
  <c r="M2" i="22"/>
  <c r="L52" i="22" l="1"/>
  <c r="N12" i="22"/>
  <c r="N42" i="22" s="1"/>
  <c r="N25" i="22"/>
  <c r="N39" i="22" s="1"/>
  <c r="N24" i="22"/>
  <c r="N38" i="22" s="1"/>
  <c r="N23" i="22"/>
  <c r="N37" i="22" s="1"/>
  <c r="N22" i="22"/>
  <c r="N36" i="22" s="1"/>
  <c r="N21" i="22"/>
  <c r="N20" i="22"/>
  <c r="N34" i="22" s="1"/>
  <c r="N19" i="22"/>
  <c r="N33" i="22" s="1"/>
  <c r="N18" i="22"/>
  <c r="N32" i="22" s="1"/>
  <c r="N17" i="22"/>
  <c r="N31" i="22" s="1"/>
  <c r="N16" i="22"/>
  <c r="N30" i="22" s="1"/>
  <c r="N15" i="22"/>
  <c r="N29" i="22" s="1"/>
  <c r="N14" i="22"/>
  <c r="N28" i="22" s="1"/>
  <c r="N13" i="22"/>
  <c r="N27" i="22" s="1"/>
  <c r="M44" i="22"/>
  <c r="M60" i="22" s="1"/>
  <c r="M43" i="22"/>
  <c r="M59" i="22" s="1"/>
  <c r="O41" i="22"/>
  <c r="N58" i="22"/>
  <c r="M35" i="22"/>
  <c r="M47" i="22" s="1"/>
  <c r="J54" i="22"/>
  <c r="J62" i="22"/>
  <c r="K62" i="22"/>
  <c r="J50" i="22"/>
  <c r="K54" i="22"/>
  <c r="L55" i="22"/>
  <c r="L45" i="22"/>
  <c r="AF26" i="19"/>
  <c r="O1" i="22"/>
  <c r="N2" i="22"/>
  <c r="M52" i="22" l="1"/>
  <c r="O12" i="22"/>
  <c r="O42" i="22" s="1"/>
  <c r="O25" i="22"/>
  <c r="O39" i="22" s="1"/>
  <c r="O24" i="22"/>
  <c r="O38" i="22" s="1"/>
  <c r="O23" i="22"/>
  <c r="O37" i="22" s="1"/>
  <c r="O22" i="22"/>
  <c r="O36" i="22" s="1"/>
  <c r="O21" i="22"/>
  <c r="O20" i="22"/>
  <c r="O34" i="22" s="1"/>
  <c r="O19" i="22"/>
  <c r="O33" i="22" s="1"/>
  <c r="O18" i="22"/>
  <c r="O32" i="22" s="1"/>
  <c r="O17" i="22"/>
  <c r="O31" i="22" s="1"/>
  <c r="O16" i="22"/>
  <c r="O30" i="22" s="1"/>
  <c r="O15" i="22"/>
  <c r="O29" i="22" s="1"/>
  <c r="O14" i="22"/>
  <c r="O28" i="22" s="1"/>
  <c r="O13" i="22"/>
  <c r="O27" i="22" s="1"/>
  <c r="P41" i="22"/>
  <c r="O58" i="22"/>
  <c r="N43" i="22"/>
  <c r="N59" i="22" s="1"/>
  <c r="N44" i="22"/>
  <c r="N60" i="22" s="1"/>
  <c r="N35" i="22"/>
  <c r="N47" i="22" s="1"/>
  <c r="L53" i="22"/>
  <c r="L61" i="22"/>
  <c r="M45" i="22"/>
  <c r="M55" i="22"/>
  <c r="L46" i="22"/>
  <c r="AG26" i="19"/>
  <c r="P1" i="22"/>
  <c r="O2" i="22"/>
  <c r="N52" i="22" l="1"/>
  <c r="P12" i="22"/>
  <c r="P42" i="22" s="1"/>
  <c r="P25" i="22"/>
  <c r="P39" i="22" s="1"/>
  <c r="P24" i="22"/>
  <c r="P38" i="22" s="1"/>
  <c r="P23" i="22"/>
  <c r="P37" i="22" s="1"/>
  <c r="P22" i="22"/>
  <c r="P36" i="22" s="1"/>
  <c r="P21" i="22"/>
  <c r="P20" i="22"/>
  <c r="P34" i="22" s="1"/>
  <c r="P19" i="22"/>
  <c r="P33" i="22" s="1"/>
  <c r="P18" i="22"/>
  <c r="P32" i="22" s="1"/>
  <c r="P17" i="22"/>
  <c r="P31" i="22" s="1"/>
  <c r="P16" i="22"/>
  <c r="P30" i="22" s="1"/>
  <c r="P15" i="22"/>
  <c r="P29" i="22" s="1"/>
  <c r="P14" i="22"/>
  <c r="P28" i="22" s="1"/>
  <c r="P13" i="22"/>
  <c r="P27" i="22" s="1"/>
  <c r="O44" i="22"/>
  <c r="O60" i="22" s="1"/>
  <c r="O43" i="22"/>
  <c r="O59" i="22" s="1"/>
  <c r="Q41" i="22"/>
  <c r="P58" i="22"/>
  <c r="O35" i="22"/>
  <c r="O47" i="22" s="1"/>
  <c r="L62" i="22"/>
  <c r="L51" i="22"/>
  <c r="M53" i="22"/>
  <c r="M61" i="22"/>
  <c r="L54" i="22"/>
  <c r="L50" i="22"/>
  <c r="M46" i="22"/>
  <c r="N55" i="22"/>
  <c r="N45" i="22"/>
  <c r="AH26" i="19"/>
  <c r="Q1" i="22"/>
  <c r="P2" i="22"/>
  <c r="O52" i="22" l="1"/>
  <c r="Q12" i="22"/>
  <c r="Q42" i="22" s="1"/>
  <c r="Q25" i="22"/>
  <c r="Q39" i="22" s="1"/>
  <c r="Q24" i="22"/>
  <c r="Q38" i="22" s="1"/>
  <c r="Q23" i="22"/>
  <c r="Q37" i="22" s="1"/>
  <c r="Q22" i="22"/>
  <c r="Q36" i="22" s="1"/>
  <c r="Q21" i="22"/>
  <c r="Q20" i="22"/>
  <c r="Q34" i="22" s="1"/>
  <c r="Q19" i="22"/>
  <c r="Q33" i="22" s="1"/>
  <c r="Q18" i="22"/>
  <c r="Q32" i="22" s="1"/>
  <c r="Q17" i="22"/>
  <c r="Q31" i="22" s="1"/>
  <c r="Q16" i="22"/>
  <c r="Q30" i="22" s="1"/>
  <c r="Q15" i="22"/>
  <c r="Q29" i="22" s="1"/>
  <c r="Q14" i="22"/>
  <c r="Q28" i="22" s="1"/>
  <c r="Q13" i="22"/>
  <c r="Q27" i="22" s="1"/>
  <c r="R41" i="22"/>
  <c r="Q58" i="22"/>
  <c r="P43" i="22"/>
  <c r="P59" i="22" s="1"/>
  <c r="P44" i="22"/>
  <c r="P60" i="22" s="1"/>
  <c r="P35" i="22"/>
  <c r="P47" i="22" s="1"/>
  <c r="M62" i="22"/>
  <c r="M51" i="22"/>
  <c r="N53" i="22"/>
  <c r="N61" i="22"/>
  <c r="M54" i="22"/>
  <c r="M50" i="22"/>
  <c r="O45" i="22"/>
  <c r="O55" i="22"/>
  <c r="N46" i="22"/>
  <c r="AI26" i="19"/>
  <c r="R1" i="22"/>
  <c r="Q2" i="22"/>
  <c r="P52" i="22" l="1"/>
  <c r="R12" i="22"/>
  <c r="R42" i="22" s="1"/>
  <c r="R25" i="22"/>
  <c r="R39" i="22" s="1"/>
  <c r="R24" i="22"/>
  <c r="R38" i="22" s="1"/>
  <c r="R23" i="22"/>
  <c r="R37" i="22" s="1"/>
  <c r="R22" i="22"/>
  <c r="R36" i="22" s="1"/>
  <c r="R21" i="22"/>
  <c r="R20" i="22"/>
  <c r="R34" i="22" s="1"/>
  <c r="R19" i="22"/>
  <c r="R33" i="22" s="1"/>
  <c r="R18" i="22"/>
  <c r="R32" i="22" s="1"/>
  <c r="R17" i="22"/>
  <c r="R31" i="22" s="1"/>
  <c r="R16" i="22"/>
  <c r="R30" i="22" s="1"/>
  <c r="R15" i="22"/>
  <c r="R29" i="22" s="1"/>
  <c r="R14" i="22"/>
  <c r="R28" i="22" s="1"/>
  <c r="R13" i="22"/>
  <c r="R27" i="22" s="1"/>
  <c r="Q44" i="22"/>
  <c r="Q60" i="22" s="1"/>
  <c r="Q43" i="22"/>
  <c r="Q59" i="22" s="1"/>
  <c r="R58" i="22"/>
  <c r="S41" i="22"/>
  <c r="Q35" i="22"/>
  <c r="Q47" i="22" s="1"/>
  <c r="N62" i="22"/>
  <c r="N51" i="22"/>
  <c r="O53" i="22"/>
  <c r="O61" i="22"/>
  <c r="N54" i="22"/>
  <c r="N50" i="22"/>
  <c r="P55" i="22"/>
  <c r="O46" i="22"/>
  <c r="P45" i="22"/>
  <c r="AJ26" i="19"/>
  <c r="S1" i="22"/>
  <c r="R2" i="22"/>
  <c r="Q52" i="22" l="1"/>
  <c r="S12" i="22"/>
  <c r="S42" i="22" s="1"/>
  <c r="S25" i="22"/>
  <c r="S39" i="22" s="1"/>
  <c r="S24" i="22"/>
  <c r="S38" i="22" s="1"/>
  <c r="S23" i="22"/>
  <c r="S37" i="22" s="1"/>
  <c r="S22" i="22"/>
  <c r="S36" i="22" s="1"/>
  <c r="S21" i="22"/>
  <c r="S20" i="22"/>
  <c r="S34" i="22" s="1"/>
  <c r="S19" i="22"/>
  <c r="S33" i="22" s="1"/>
  <c r="S18" i="22"/>
  <c r="S32" i="22" s="1"/>
  <c r="S17" i="22"/>
  <c r="S31" i="22" s="1"/>
  <c r="S16" i="22"/>
  <c r="S30" i="22" s="1"/>
  <c r="S15" i="22"/>
  <c r="S29" i="22" s="1"/>
  <c r="S14" i="22"/>
  <c r="S28" i="22" s="1"/>
  <c r="S13" i="22"/>
  <c r="S27" i="22" s="1"/>
  <c r="S58" i="22"/>
  <c r="T41" i="22"/>
  <c r="R43" i="22"/>
  <c r="R59" i="22" s="1"/>
  <c r="R44" i="22"/>
  <c r="R60" i="22" s="1"/>
  <c r="R35" i="22"/>
  <c r="R47" i="22" s="1"/>
  <c r="O62" i="22"/>
  <c r="O51" i="22"/>
  <c r="P53" i="22"/>
  <c r="P61" i="22"/>
  <c r="O54" i="22"/>
  <c r="O50" i="22"/>
  <c r="Q45" i="22"/>
  <c r="Q61" i="22" s="1"/>
  <c r="P46" i="22"/>
  <c r="Q55" i="22"/>
  <c r="AK26" i="19"/>
  <c r="T1" i="22"/>
  <c r="S2" i="22"/>
  <c r="R52" i="22" l="1"/>
  <c r="T12" i="22"/>
  <c r="T42" i="22" s="1"/>
  <c r="T25" i="22"/>
  <c r="T39" i="22" s="1"/>
  <c r="T24" i="22"/>
  <c r="T38" i="22" s="1"/>
  <c r="T23" i="22"/>
  <c r="T37" i="22" s="1"/>
  <c r="T22" i="22"/>
  <c r="T36" i="22" s="1"/>
  <c r="T21" i="22"/>
  <c r="T20" i="22"/>
  <c r="T34" i="22" s="1"/>
  <c r="T19" i="22"/>
  <c r="T33" i="22" s="1"/>
  <c r="T18" i="22"/>
  <c r="T32" i="22" s="1"/>
  <c r="T17" i="22"/>
  <c r="T31" i="22" s="1"/>
  <c r="T16" i="22"/>
  <c r="T30" i="22" s="1"/>
  <c r="T15" i="22"/>
  <c r="T29" i="22" s="1"/>
  <c r="T14" i="22"/>
  <c r="T28" i="22" s="1"/>
  <c r="T13" i="22"/>
  <c r="T27" i="22" s="1"/>
  <c r="S44" i="22"/>
  <c r="S60" i="22" s="1"/>
  <c r="S43" i="22"/>
  <c r="S59" i="22" s="1"/>
  <c r="U41" i="22"/>
  <c r="T58" i="22"/>
  <c r="S35" i="22"/>
  <c r="S47" i="22" s="1"/>
  <c r="Q53" i="22"/>
  <c r="P62" i="22"/>
  <c r="P51" i="22"/>
  <c r="P54" i="22"/>
  <c r="P50" i="22"/>
  <c r="R55" i="22"/>
  <c r="Q46" i="22"/>
  <c r="R45" i="22"/>
  <c r="AL26" i="19"/>
  <c r="U1" i="22"/>
  <c r="T2" i="22"/>
  <c r="S52" i="22" l="1"/>
  <c r="U12" i="22"/>
  <c r="U42" i="22" s="1"/>
  <c r="U25" i="22"/>
  <c r="U39" i="22" s="1"/>
  <c r="U24" i="22"/>
  <c r="U38" i="22" s="1"/>
  <c r="U23" i="22"/>
  <c r="U37" i="22" s="1"/>
  <c r="U22" i="22"/>
  <c r="U36" i="22" s="1"/>
  <c r="U21" i="22"/>
  <c r="U20" i="22"/>
  <c r="U34" i="22" s="1"/>
  <c r="U19" i="22"/>
  <c r="U33" i="22" s="1"/>
  <c r="U18" i="22"/>
  <c r="U32" i="22" s="1"/>
  <c r="U17" i="22"/>
  <c r="U31" i="22" s="1"/>
  <c r="U16" i="22"/>
  <c r="U30" i="22" s="1"/>
  <c r="U15" i="22"/>
  <c r="U29" i="22" s="1"/>
  <c r="U14" i="22"/>
  <c r="U28" i="22" s="1"/>
  <c r="U13" i="22"/>
  <c r="U27" i="22" s="1"/>
  <c r="V41" i="22"/>
  <c r="U58" i="22"/>
  <c r="T43" i="22"/>
  <c r="T59" i="22" s="1"/>
  <c r="T44" i="22"/>
  <c r="T60" i="22" s="1"/>
  <c r="T35" i="22"/>
  <c r="T47" i="22" s="1"/>
  <c r="Q62" i="22"/>
  <c r="Q51" i="22"/>
  <c r="R53" i="22"/>
  <c r="R61" i="22"/>
  <c r="Q54" i="22"/>
  <c r="Q50" i="22"/>
  <c r="S45" i="22"/>
  <c r="R46" i="22"/>
  <c r="S55" i="22"/>
  <c r="AM26" i="19"/>
  <c r="V1" i="22"/>
  <c r="U2" i="22"/>
  <c r="T52" i="22" l="1"/>
  <c r="V12" i="22"/>
  <c r="V42" i="22" s="1"/>
  <c r="V25" i="22"/>
  <c r="V39" i="22" s="1"/>
  <c r="V24" i="22"/>
  <c r="V38" i="22" s="1"/>
  <c r="V23" i="22"/>
  <c r="V37" i="22" s="1"/>
  <c r="V22" i="22"/>
  <c r="V36" i="22" s="1"/>
  <c r="V21" i="22"/>
  <c r="V20" i="22"/>
  <c r="V34" i="22" s="1"/>
  <c r="V19" i="22"/>
  <c r="V33" i="22" s="1"/>
  <c r="V18" i="22"/>
  <c r="V32" i="22" s="1"/>
  <c r="V17" i="22"/>
  <c r="V31" i="22" s="1"/>
  <c r="V16" i="22"/>
  <c r="V30" i="22" s="1"/>
  <c r="V15" i="22"/>
  <c r="V29" i="22" s="1"/>
  <c r="V14" i="22"/>
  <c r="V28" i="22" s="1"/>
  <c r="V13" i="22"/>
  <c r="V27" i="22" s="1"/>
  <c r="U44" i="22"/>
  <c r="U60" i="22" s="1"/>
  <c r="U43" i="22"/>
  <c r="U59" i="22" s="1"/>
  <c r="W41" i="22"/>
  <c r="V58" i="22"/>
  <c r="U35" i="22"/>
  <c r="U47" i="22" s="1"/>
  <c r="R62" i="22"/>
  <c r="R51" i="22"/>
  <c r="S53" i="22"/>
  <c r="S61" i="22"/>
  <c r="R54" i="22"/>
  <c r="R50" i="22"/>
  <c r="T55" i="22"/>
  <c r="S46" i="22"/>
  <c r="T45" i="22"/>
  <c r="AN26" i="19"/>
  <c r="W1" i="22"/>
  <c r="V2" i="22"/>
  <c r="U52" i="22" l="1"/>
  <c r="W12" i="22"/>
  <c r="W42" i="22" s="1"/>
  <c r="W25" i="22"/>
  <c r="W39" i="22" s="1"/>
  <c r="W24" i="22"/>
  <c r="W38" i="22" s="1"/>
  <c r="W23" i="22"/>
  <c r="W37" i="22" s="1"/>
  <c r="W22" i="22"/>
  <c r="W36" i="22" s="1"/>
  <c r="W21" i="22"/>
  <c r="W20" i="22"/>
  <c r="W34" i="22" s="1"/>
  <c r="W19" i="22"/>
  <c r="W33" i="22" s="1"/>
  <c r="W18" i="22"/>
  <c r="W32" i="22" s="1"/>
  <c r="W17" i="22"/>
  <c r="W31" i="22" s="1"/>
  <c r="W16" i="22"/>
  <c r="W30" i="22" s="1"/>
  <c r="W15" i="22"/>
  <c r="W29" i="22" s="1"/>
  <c r="W14" i="22"/>
  <c r="W28" i="22" s="1"/>
  <c r="W13" i="22"/>
  <c r="W27" i="22" s="1"/>
  <c r="X41" i="22"/>
  <c r="W58" i="22"/>
  <c r="V43" i="22"/>
  <c r="V59" i="22" s="1"/>
  <c r="V44" i="22"/>
  <c r="V60" i="22" s="1"/>
  <c r="V35" i="22"/>
  <c r="V47" i="22" s="1"/>
  <c r="S62" i="22"/>
  <c r="S51" i="22"/>
  <c r="T53" i="22"/>
  <c r="T61" i="22"/>
  <c r="S54" i="22"/>
  <c r="S50" i="22"/>
  <c r="U45" i="22"/>
  <c r="T46" i="22"/>
  <c r="U55" i="22"/>
  <c r="X1" i="22"/>
  <c r="W2" i="22"/>
  <c r="V52" i="22" l="1"/>
  <c r="X12" i="22"/>
  <c r="X42" i="22" s="1"/>
  <c r="X25" i="22"/>
  <c r="X39" i="22" s="1"/>
  <c r="X24" i="22"/>
  <c r="X38" i="22" s="1"/>
  <c r="X23" i="22"/>
  <c r="X37" i="22" s="1"/>
  <c r="X22" i="22"/>
  <c r="X36" i="22" s="1"/>
  <c r="X21" i="22"/>
  <c r="X20" i="22"/>
  <c r="X34" i="22" s="1"/>
  <c r="X19" i="22"/>
  <c r="X33" i="22" s="1"/>
  <c r="X18" i="22"/>
  <c r="X32" i="22" s="1"/>
  <c r="X17" i="22"/>
  <c r="X31" i="22" s="1"/>
  <c r="X16" i="22"/>
  <c r="X30" i="22" s="1"/>
  <c r="X15" i="22"/>
  <c r="X29" i="22" s="1"/>
  <c r="X14" i="22"/>
  <c r="X28" i="22" s="1"/>
  <c r="X13" i="22"/>
  <c r="X27" i="22" s="1"/>
  <c r="W44" i="22"/>
  <c r="W60" i="22" s="1"/>
  <c r="W43" i="22"/>
  <c r="W59" i="22" s="1"/>
  <c r="Y41" i="22"/>
  <c r="X58" i="22"/>
  <c r="W35" i="22"/>
  <c r="W47" i="22" s="1"/>
  <c r="T62" i="22"/>
  <c r="T51" i="22"/>
  <c r="U53" i="22"/>
  <c r="U61" i="22"/>
  <c r="T54" i="22"/>
  <c r="T50" i="22"/>
  <c r="V55" i="22"/>
  <c r="U46" i="22"/>
  <c r="V45" i="22"/>
  <c r="Y1" i="22"/>
  <c r="X2" i="22"/>
  <c r="W52" i="22" l="1"/>
  <c r="Y12" i="22"/>
  <c r="Y42" i="22" s="1"/>
  <c r="Y25" i="22"/>
  <c r="Y39" i="22" s="1"/>
  <c r="Y24" i="22"/>
  <c r="Y38" i="22" s="1"/>
  <c r="Y23" i="22"/>
  <c r="Y37" i="22" s="1"/>
  <c r="Y22" i="22"/>
  <c r="Y36" i="22" s="1"/>
  <c r="Y21" i="22"/>
  <c r="Y20" i="22"/>
  <c r="Y34" i="22" s="1"/>
  <c r="Y19" i="22"/>
  <c r="Y33" i="22" s="1"/>
  <c r="Y18" i="22"/>
  <c r="Y32" i="22" s="1"/>
  <c r="Y17" i="22"/>
  <c r="Y31" i="22" s="1"/>
  <c r="Y16" i="22"/>
  <c r="Y30" i="22" s="1"/>
  <c r="Y15" i="22"/>
  <c r="Y29" i="22" s="1"/>
  <c r="Y14" i="22"/>
  <c r="Y28" i="22" s="1"/>
  <c r="Y13" i="22"/>
  <c r="Y27" i="22" s="1"/>
  <c r="Z41" i="22"/>
  <c r="Y58" i="22"/>
  <c r="X43" i="22"/>
  <c r="X59" i="22" s="1"/>
  <c r="X44" i="22"/>
  <c r="X60" i="22" s="1"/>
  <c r="X35" i="22"/>
  <c r="X47" i="22" s="1"/>
  <c r="U62" i="22"/>
  <c r="U51" i="22"/>
  <c r="V53" i="22"/>
  <c r="V61" i="22"/>
  <c r="U54" i="22"/>
  <c r="U50" i="22"/>
  <c r="W45" i="22"/>
  <c r="W61" i="22" s="1"/>
  <c r="V46" i="22"/>
  <c r="W55" i="22"/>
  <c r="Z1" i="22"/>
  <c r="Y2" i="22"/>
  <c r="X52" i="22" l="1"/>
  <c r="Z12" i="22"/>
  <c r="Z42" i="22" s="1"/>
  <c r="Z25" i="22"/>
  <c r="Z39" i="22" s="1"/>
  <c r="Z24" i="22"/>
  <c r="Z38" i="22" s="1"/>
  <c r="Z23" i="22"/>
  <c r="Z37" i="22" s="1"/>
  <c r="Z22" i="22"/>
  <c r="Z36" i="22" s="1"/>
  <c r="Z21" i="22"/>
  <c r="Z20" i="22"/>
  <c r="Z34" i="22" s="1"/>
  <c r="Z19" i="22"/>
  <c r="Z33" i="22" s="1"/>
  <c r="Z18" i="22"/>
  <c r="Z32" i="22" s="1"/>
  <c r="Z17" i="22"/>
  <c r="Z31" i="22" s="1"/>
  <c r="Z16" i="22"/>
  <c r="Z30" i="22" s="1"/>
  <c r="Z15" i="22"/>
  <c r="Z29" i="22" s="1"/>
  <c r="Z14" i="22"/>
  <c r="Z28" i="22" s="1"/>
  <c r="Z13" i="22"/>
  <c r="Z27" i="22" s="1"/>
  <c r="Y44" i="22"/>
  <c r="Y60" i="22" s="1"/>
  <c r="Y43" i="22"/>
  <c r="Y59" i="22" s="1"/>
  <c r="AA41" i="22"/>
  <c r="Z58" i="22"/>
  <c r="Y35" i="22"/>
  <c r="Y47" i="22" s="1"/>
  <c r="V62" i="22"/>
  <c r="V51" i="22"/>
  <c r="V54" i="22"/>
  <c r="V50" i="22"/>
  <c r="X55" i="22"/>
  <c r="W53" i="22"/>
  <c r="W46" i="22"/>
  <c r="X45" i="22"/>
  <c r="X61" i="22" s="1"/>
  <c r="AA1" i="22"/>
  <c r="Z2" i="22"/>
  <c r="Y52" i="22" l="1"/>
  <c r="AA12" i="22"/>
  <c r="AA42" i="22" s="1"/>
  <c r="AA25" i="22"/>
  <c r="AA39" i="22" s="1"/>
  <c r="AA24" i="22"/>
  <c r="AA38" i="22" s="1"/>
  <c r="AA23" i="22"/>
  <c r="AA37" i="22" s="1"/>
  <c r="AA22" i="22"/>
  <c r="AA36" i="22" s="1"/>
  <c r="AA21" i="22"/>
  <c r="AA20" i="22"/>
  <c r="AA34" i="22" s="1"/>
  <c r="AA19" i="22"/>
  <c r="AA33" i="22" s="1"/>
  <c r="AA18" i="22"/>
  <c r="AA32" i="22" s="1"/>
  <c r="AA17" i="22"/>
  <c r="AA31" i="22" s="1"/>
  <c r="AA16" i="22"/>
  <c r="AA30" i="22" s="1"/>
  <c r="AA15" i="22"/>
  <c r="AA29" i="22" s="1"/>
  <c r="AA14" i="22"/>
  <c r="AA28" i="22" s="1"/>
  <c r="AA13" i="22"/>
  <c r="AA27" i="22" s="1"/>
  <c r="AB41" i="22"/>
  <c r="AA58" i="22"/>
  <c r="Z43" i="22"/>
  <c r="Z59" i="22" s="1"/>
  <c r="Z44" i="22"/>
  <c r="Z60" i="22" s="1"/>
  <c r="Z35" i="22"/>
  <c r="Z47" i="22" s="1"/>
  <c r="W62" i="22"/>
  <c r="W51" i="22"/>
  <c r="W54" i="22"/>
  <c r="W50" i="22"/>
  <c r="Y45" i="22"/>
  <c r="X53" i="22"/>
  <c r="Y55" i="22"/>
  <c r="X46" i="22"/>
  <c r="AB1" i="22"/>
  <c r="AA2" i="22"/>
  <c r="Z52" i="22" l="1"/>
  <c r="AB12" i="22"/>
  <c r="AB42" i="22" s="1"/>
  <c r="AB25" i="22"/>
  <c r="AB39" i="22" s="1"/>
  <c r="AB24" i="22"/>
  <c r="AB38" i="22" s="1"/>
  <c r="AB23" i="22"/>
  <c r="AB37" i="22" s="1"/>
  <c r="AB22" i="22"/>
  <c r="AB36" i="22" s="1"/>
  <c r="AB21" i="22"/>
  <c r="AB20" i="22"/>
  <c r="AB34" i="22" s="1"/>
  <c r="AB19" i="22"/>
  <c r="AB33" i="22" s="1"/>
  <c r="AB18" i="22"/>
  <c r="AB32" i="22" s="1"/>
  <c r="AB17" i="22"/>
  <c r="AB31" i="22" s="1"/>
  <c r="AB16" i="22"/>
  <c r="AB30" i="22" s="1"/>
  <c r="AB15" i="22"/>
  <c r="AB29" i="22" s="1"/>
  <c r="AB14" i="22"/>
  <c r="AB28" i="22" s="1"/>
  <c r="AB13" i="22"/>
  <c r="AB27" i="22" s="1"/>
  <c r="AA44" i="22"/>
  <c r="AA60" i="22" s="1"/>
  <c r="AA43" i="22"/>
  <c r="AA59" i="22" s="1"/>
  <c r="AB58" i="22"/>
  <c r="AC41" i="22"/>
  <c r="AA35" i="22"/>
  <c r="AA47" i="22" s="1"/>
  <c r="X62" i="22"/>
  <c r="X51" i="22"/>
  <c r="Y53" i="22"/>
  <c r="Y61" i="22"/>
  <c r="X54" i="22"/>
  <c r="X50" i="22"/>
  <c r="Y46" i="22"/>
  <c r="Y51" i="22" s="1"/>
  <c r="Z55" i="22"/>
  <c r="Z45" i="22"/>
  <c r="AC1" i="22"/>
  <c r="AB2" i="22"/>
  <c r="AA52" i="22" l="1"/>
  <c r="AC12" i="22"/>
  <c r="AC42" i="22" s="1"/>
  <c r="AC25" i="22"/>
  <c r="AC39" i="22" s="1"/>
  <c r="AC24" i="22"/>
  <c r="AC38" i="22" s="1"/>
  <c r="AC23" i="22"/>
  <c r="AC37" i="22" s="1"/>
  <c r="AC22" i="22"/>
  <c r="AC36" i="22" s="1"/>
  <c r="AC21" i="22"/>
  <c r="AC20" i="22"/>
  <c r="AC34" i="22" s="1"/>
  <c r="AC19" i="22"/>
  <c r="AC33" i="22" s="1"/>
  <c r="AC18" i="22"/>
  <c r="AC32" i="22" s="1"/>
  <c r="AC17" i="22"/>
  <c r="AC31" i="22" s="1"/>
  <c r="AC16" i="22"/>
  <c r="AC30" i="22" s="1"/>
  <c r="AC15" i="22"/>
  <c r="AC29" i="22" s="1"/>
  <c r="AC14" i="22"/>
  <c r="AC28" i="22" s="1"/>
  <c r="AC13" i="22"/>
  <c r="AC27" i="22" s="1"/>
  <c r="AC58" i="22"/>
  <c r="AD41" i="22"/>
  <c r="AB43" i="22"/>
  <c r="AB59" i="22" s="1"/>
  <c r="AB44" i="22"/>
  <c r="AB60" i="22" s="1"/>
  <c r="AB35" i="22"/>
  <c r="AB47" i="22" s="1"/>
  <c r="Y54" i="22"/>
  <c r="Y50" i="22"/>
  <c r="Y62" i="22"/>
  <c r="Z53" i="22"/>
  <c r="Z61" i="22"/>
  <c r="AA45" i="22"/>
  <c r="AA55" i="22"/>
  <c r="Z46" i="22"/>
  <c r="AD1" i="22"/>
  <c r="AC2" i="22"/>
  <c r="AB52" i="22" l="1"/>
  <c r="AD12" i="22"/>
  <c r="AD42" i="22" s="1"/>
  <c r="AD25" i="22"/>
  <c r="AD39" i="22" s="1"/>
  <c r="AD24" i="22"/>
  <c r="AD38" i="22" s="1"/>
  <c r="AD23" i="22"/>
  <c r="AD37" i="22" s="1"/>
  <c r="AD22" i="22"/>
  <c r="AD36" i="22" s="1"/>
  <c r="AD21" i="22"/>
  <c r="AD20" i="22"/>
  <c r="AD34" i="22" s="1"/>
  <c r="AD19" i="22"/>
  <c r="AD33" i="22" s="1"/>
  <c r="AD18" i="22"/>
  <c r="AD32" i="22" s="1"/>
  <c r="AD17" i="22"/>
  <c r="AD31" i="22" s="1"/>
  <c r="AD16" i="22"/>
  <c r="AD30" i="22" s="1"/>
  <c r="AD15" i="22"/>
  <c r="AD29" i="22" s="1"/>
  <c r="AD14" i="22"/>
  <c r="AD28" i="22" s="1"/>
  <c r="AD13" i="22"/>
  <c r="AD27" i="22" s="1"/>
  <c r="AC44" i="22"/>
  <c r="AC60" i="22" s="1"/>
  <c r="AC43" i="22"/>
  <c r="AC59" i="22" s="1"/>
  <c r="AD58" i="22"/>
  <c r="AE41" i="22"/>
  <c r="AC35" i="22"/>
  <c r="AC47" i="22" s="1"/>
  <c r="Z62" i="22"/>
  <c r="Z51" i="22"/>
  <c r="AA53" i="22"/>
  <c r="AA61" i="22"/>
  <c r="Z54" i="22"/>
  <c r="Z50" i="22"/>
  <c r="AB45" i="22"/>
  <c r="AA46" i="22"/>
  <c r="AB55" i="22"/>
  <c r="AE1" i="22"/>
  <c r="AD2" i="22"/>
  <c r="AC52" i="22" l="1"/>
  <c r="AE12" i="22"/>
  <c r="AE42" i="22" s="1"/>
  <c r="AE25" i="22"/>
  <c r="AE39" i="22" s="1"/>
  <c r="AE24" i="22"/>
  <c r="AE38" i="22" s="1"/>
  <c r="AE23" i="22"/>
  <c r="AE37" i="22" s="1"/>
  <c r="AE22" i="22"/>
  <c r="AE36" i="22" s="1"/>
  <c r="AE21" i="22"/>
  <c r="AE20" i="22"/>
  <c r="AE34" i="22" s="1"/>
  <c r="AE19" i="22"/>
  <c r="AE33" i="22" s="1"/>
  <c r="AE18" i="22"/>
  <c r="AE32" i="22" s="1"/>
  <c r="AE17" i="22"/>
  <c r="AE31" i="22" s="1"/>
  <c r="AE16" i="22"/>
  <c r="AE30" i="22" s="1"/>
  <c r="AE15" i="22"/>
  <c r="AE29" i="22" s="1"/>
  <c r="AE14" i="22"/>
  <c r="AE28" i="22" s="1"/>
  <c r="AE13" i="22"/>
  <c r="AE27" i="22" s="1"/>
  <c r="AE58" i="22"/>
  <c r="AF41" i="22"/>
  <c r="AD43" i="22"/>
  <c r="AD59" i="22" s="1"/>
  <c r="AD44" i="22"/>
  <c r="AD60" i="22" s="1"/>
  <c r="AD35" i="22"/>
  <c r="AD47" i="22" s="1"/>
  <c r="AA62" i="22"/>
  <c r="AA51" i="22"/>
  <c r="AB53" i="22"/>
  <c r="AB61" i="22"/>
  <c r="AA54" i="22"/>
  <c r="AA50" i="22"/>
  <c r="AB46" i="22"/>
  <c r="AB51" i="22" s="1"/>
  <c r="AC55" i="22"/>
  <c r="AC45" i="22"/>
  <c r="AF1" i="22"/>
  <c r="AE2" i="22"/>
  <c r="AD52" i="22" l="1"/>
  <c r="AF12" i="22"/>
  <c r="AF42" i="22" s="1"/>
  <c r="AF25" i="22"/>
  <c r="AF39" i="22" s="1"/>
  <c r="AF24" i="22"/>
  <c r="AF38" i="22" s="1"/>
  <c r="AF23" i="22"/>
  <c r="AF37" i="22" s="1"/>
  <c r="AF22" i="22"/>
  <c r="AF36" i="22" s="1"/>
  <c r="AF21" i="22"/>
  <c r="AF20" i="22"/>
  <c r="AF34" i="22" s="1"/>
  <c r="AF19" i="22"/>
  <c r="AF33" i="22" s="1"/>
  <c r="AF18" i="22"/>
  <c r="AF32" i="22" s="1"/>
  <c r="AF17" i="22"/>
  <c r="AF31" i="22" s="1"/>
  <c r="AF16" i="22"/>
  <c r="AF30" i="22" s="1"/>
  <c r="AF15" i="22"/>
  <c r="AF29" i="22" s="1"/>
  <c r="AF14" i="22"/>
  <c r="AF28" i="22" s="1"/>
  <c r="AF13" i="22"/>
  <c r="AF27" i="22" s="1"/>
  <c r="AE46" i="22"/>
  <c r="AE44" i="22"/>
  <c r="AE60" i="22" s="1"/>
  <c r="AE43" i="22"/>
  <c r="AF58" i="22"/>
  <c r="AG41" i="22"/>
  <c r="AE35" i="22"/>
  <c r="AE47" i="22" s="1"/>
  <c r="AC53" i="22"/>
  <c r="AC61" i="22"/>
  <c r="AB50" i="22"/>
  <c r="AB62" i="22"/>
  <c r="AB54" i="22"/>
  <c r="AD55" i="22"/>
  <c r="AD45" i="22"/>
  <c r="AE45" i="22"/>
  <c r="AD46" i="22"/>
  <c r="AD51" i="22" s="1"/>
  <c r="AC46" i="22"/>
  <c r="AG1" i="22"/>
  <c r="AF2" i="22"/>
  <c r="AE52" i="22" l="1"/>
  <c r="AG12" i="22"/>
  <c r="AG42" i="22" s="1"/>
  <c r="AG25" i="22"/>
  <c r="AG39" i="22" s="1"/>
  <c r="AG24" i="22"/>
  <c r="AG38" i="22" s="1"/>
  <c r="AG23" i="22"/>
  <c r="AG37" i="22" s="1"/>
  <c r="AG22" i="22"/>
  <c r="AG36" i="22" s="1"/>
  <c r="AG21" i="22"/>
  <c r="AG20" i="22"/>
  <c r="AG34" i="22" s="1"/>
  <c r="AG19" i="22"/>
  <c r="AG33" i="22" s="1"/>
  <c r="AG18" i="22"/>
  <c r="AG32" i="22" s="1"/>
  <c r="AG17" i="22"/>
  <c r="AG31" i="22" s="1"/>
  <c r="AG16" i="22"/>
  <c r="AG30" i="22" s="1"/>
  <c r="AG15" i="22"/>
  <c r="AG29" i="22" s="1"/>
  <c r="AG14" i="22"/>
  <c r="AG28" i="22" s="1"/>
  <c r="AG13" i="22"/>
  <c r="AG27" i="22" s="1"/>
  <c r="AF45" i="22"/>
  <c r="AF61" i="22" s="1"/>
  <c r="AG58" i="22"/>
  <c r="AH41" i="22"/>
  <c r="AE51" i="22"/>
  <c r="AE59" i="22"/>
  <c r="AE50" i="22"/>
  <c r="AF43" i="22"/>
  <c r="AF44" i="22"/>
  <c r="AF60" i="22" s="1"/>
  <c r="AF46" i="22"/>
  <c r="AF62" i="22" s="1"/>
  <c r="AF35" i="22"/>
  <c r="AF47" i="22" s="1"/>
  <c r="AC62" i="22"/>
  <c r="AC51" i="22"/>
  <c r="AD53" i="22"/>
  <c r="AD61" i="22"/>
  <c r="AD50" i="22"/>
  <c r="AD62" i="22"/>
  <c r="AE62" i="22"/>
  <c r="AE53" i="22"/>
  <c r="AE61" i="22"/>
  <c r="AC54" i="22"/>
  <c r="AC50" i="22"/>
  <c r="AD54" i="22"/>
  <c r="AE55" i="22"/>
  <c r="AH1" i="22"/>
  <c r="AG2" i="22"/>
  <c r="AF53" i="22" l="1"/>
  <c r="AF52" i="22"/>
  <c r="AH12" i="22"/>
  <c r="AH42" i="22" s="1"/>
  <c r="AH25" i="22"/>
  <c r="AH39" i="22" s="1"/>
  <c r="AH24" i="22"/>
  <c r="AH38" i="22" s="1"/>
  <c r="AH23" i="22"/>
  <c r="AH37" i="22" s="1"/>
  <c r="AH22" i="22"/>
  <c r="AH36" i="22" s="1"/>
  <c r="AH21" i="22"/>
  <c r="AH20" i="22"/>
  <c r="AH34" i="22" s="1"/>
  <c r="AH19" i="22"/>
  <c r="AH33" i="22" s="1"/>
  <c r="AH18" i="22"/>
  <c r="AH32" i="22" s="1"/>
  <c r="AH17" i="22"/>
  <c r="AH31" i="22" s="1"/>
  <c r="AH16" i="22"/>
  <c r="AH30" i="22" s="1"/>
  <c r="AH15" i="22"/>
  <c r="AH29" i="22" s="1"/>
  <c r="AH14" i="22"/>
  <c r="AH28" i="22" s="1"/>
  <c r="AH13" i="22"/>
  <c r="AH27" i="22" s="1"/>
  <c r="AG46" i="22"/>
  <c r="AG62" i="22" s="1"/>
  <c r="AG44" i="22"/>
  <c r="AG60" i="22" s="1"/>
  <c r="AF51" i="22"/>
  <c r="AF59" i="22"/>
  <c r="AF50" i="22"/>
  <c r="AG43" i="22"/>
  <c r="AG52" i="22" s="1"/>
  <c r="AH58" i="22"/>
  <c r="AI41" i="22"/>
  <c r="AG45" i="22"/>
  <c r="AG61" i="22" s="1"/>
  <c r="AG35" i="22"/>
  <c r="AG47" i="22" s="1"/>
  <c r="AE54" i="22"/>
  <c r="AF55" i="22"/>
  <c r="AF54" i="22"/>
  <c r="AI1" i="22"/>
  <c r="AH2" i="22"/>
  <c r="AG53" i="22" l="1"/>
  <c r="AI12" i="22"/>
  <c r="AI42" i="22" s="1"/>
  <c r="AI25" i="22"/>
  <c r="AI39" i="22" s="1"/>
  <c r="AI24" i="22"/>
  <c r="AI38" i="22" s="1"/>
  <c r="AI23" i="22"/>
  <c r="AI37" i="22" s="1"/>
  <c r="AI22" i="22"/>
  <c r="AI36" i="22" s="1"/>
  <c r="AI21" i="22"/>
  <c r="AI20" i="22"/>
  <c r="AI34" i="22" s="1"/>
  <c r="AI19" i="22"/>
  <c r="AI33" i="22" s="1"/>
  <c r="AI18" i="22"/>
  <c r="AI32" i="22" s="1"/>
  <c r="AI17" i="22"/>
  <c r="AI31" i="22" s="1"/>
  <c r="AI16" i="22"/>
  <c r="AI30" i="22" s="1"/>
  <c r="AI15" i="22"/>
  <c r="AI29" i="22" s="1"/>
  <c r="AI14" i="22"/>
  <c r="AI28" i="22" s="1"/>
  <c r="AI13" i="22"/>
  <c r="AI27" i="22" s="1"/>
  <c r="AH45" i="22"/>
  <c r="AH61" i="22" s="1"/>
  <c r="AI58" i="22"/>
  <c r="AJ41" i="22"/>
  <c r="AG51" i="22"/>
  <c r="AG59" i="22"/>
  <c r="AG50" i="22"/>
  <c r="AH43" i="22"/>
  <c r="AH44" i="22"/>
  <c r="AH46" i="22"/>
  <c r="AH62" i="22" s="1"/>
  <c r="AH35" i="22"/>
  <c r="AH47" i="22" s="1"/>
  <c r="AG55" i="22"/>
  <c r="AG54" i="22"/>
  <c r="AJ1" i="22"/>
  <c r="AI2" i="22"/>
  <c r="AH52" i="22" l="1"/>
  <c r="AH51" i="22"/>
  <c r="AJ12" i="22"/>
  <c r="AJ42" i="22" s="1"/>
  <c r="AJ25" i="22"/>
  <c r="AJ39" i="22" s="1"/>
  <c r="AJ24" i="22"/>
  <c r="AJ38" i="22" s="1"/>
  <c r="AJ23" i="22"/>
  <c r="AJ37" i="22" s="1"/>
  <c r="AJ22" i="22"/>
  <c r="AJ36" i="22" s="1"/>
  <c r="AJ21" i="22"/>
  <c r="AJ20" i="22"/>
  <c r="AJ34" i="22" s="1"/>
  <c r="AJ19" i="22"/>
  <c r="AJ33" i="22" s="1"/>
  <c r="AJ18" i="22"/>
  <c r="AJ32" i="22" s="1"/>
  <c r="AJ17" i="22"/>
  <c r="AJ31" i="22" s="1"/>
  <c r="AJ16" i="22"/>
  <c r="AJ30" i="22" s="1"/>
  <c r="AJ15" i="22"/>
  <c r="AJ29" i="22" s="1"/>
  <c r="AJ14" i="22"/>
  <c r="AJ28" i="22" s="1"/>
  <c r="AJ13" i="22"/>
  <c r="AJ27" i="22" s="1"/>
  <c r="AI46" i="22"/>
  <c r="AI62" i="22" s="1"/>
  <c r="AH60" i="22"/>
  <c r="AH53" i="22"/>
  <c r="AI44" i="22"/>
  <c r="AI60" i="22" s="1"/>
  <c r="AH59" i="22"/>
  <c r="AH50" i="22"/>
  <c r="AI43" i="22"/>
  <c r="AJ58" i="22"/>
  <c r="AK41" i="22"/>
  <c r="AI45" i="22"/>
  <c r="AI61" i="22" s="1"/>
  <c r="AI35" i="22"/>
  <c r="AI47" i="22" s="1"/>
  <c r="AH55" i="22"/>
  <c r="AH54" i="22"/>
  <c r="AK1" i="22"/>
  <c r="AJ2" i="22"/>
  <c r="AI53" i="22" l="1"/>
  <c r="AI51" i="22"/>
  <c r="AI52" i="22"/>
  <c r="AK12" i="22"/>
  <c r="AK42" i="22" s="1"/>
  <c r="AK25" i="22"/>
  <c r="AK39" i="22" s="1"/>
  <c r="AK24" i="22"/>
  <c r="AK38" i="22" s="1"/>
  <c r="AK23" i="22"/>
  <c r="AK37" i="22" s="1"/>
  <c r="AK22" i="22"/>
  <c r="AK36" i="22" s="1"/>
  <c r="AK21" i="22"/>
  <c r="AK20" i="22"/>
  <c r="AK34" i="22" s="1"/>
  <c r="AK19" i="22"/>
  <c r="AK33" i="22" s="1"/>
  <c r="AK18" i="22"/>
  <c r="AK32" i="22" s="1"/>
  <c r="AK17" i="22"/>
  <c r="AK31" i="22" s="1"/>
  <c r="AK16" i="22"/>
  <c r="AK30" i="22" s="1"/>
  <c r="AK15" i="22"/>
  <c r="AK29" i="22" s="1"/>
  <c r="AK14" i="22"/>
  <c r="AK28" i="22" s="1"/>
  <c r="AK13" i="22"/>
  <c r="AK27" i="22" s="1"/>
  <c r="AJ45" i="22"/>
  <c r="AJ61" i="22" s="1"/>
  <c r="AK58" i="22"/>
  <c r="AL41" i="22"/>
  <c r="AI59" i="22"/>
  <c r="AI50" i="22"/>
  <c r="AJ43" i="22"/>
  <c r="AJ44" i="22"/>
  <c r="AJ60" i="22" s="1"/>
  <c r="AJ46" i="22"/>
  <c r="AJ62" i="22" s="1"/>
  <c r="AJ35" i="22"/>
  <c r="AJ47" i="22" s="1"/>
  <c r="AI55" i="22"/>
  <c r="AI54" i="22"/>
  <c r="AL1" i="22"/>
  <c r="AK2" i="22"/>
  <c r="AJ52" i="22" l="1"/>
  <c r="AJ53" i="22"/>
  <c r="AJ51" i="22"/>
  <c r="AL12" i="22"/>
  <c r="AL42" i="22" s="1"/>
  <c r="AL25" i="22"/>
  <c r="AL39" i="22" s="1"/>
  <c r="AL24" i="22"/>
  <c r="AL38" i="22" s="1"/>
  <c r="AL23" i="22"/>
  <c r="AL37" i="22" s="1"/>
  <c r="AL22" i="22"/>
  <c r="AL36" i="22" s="1"/>
  <c r="AL21" i="22"/>
  <c r="AL20" i="22"/>
  <c r="AL34" i="22" s="1"/>
  <c r="AL19" i="22"/>
  <c r="AL33" i="22" s="1"/>
  <c r="AL18" i="22"/>
  <c r="AL32" i="22" s="1"/>
  <c r="AL17" i="22"/>
  <c r="AL31" i="22" s="1"/>
  <c r="AL16" i="22"/>
  <c r="AL30" i="22" s="1"/>
  <c r="AL15" i="22"/>
  <c r="AL29" i="22" s="1"/>
  <c r="AL14" i="22"/>
  <c r="AL28" i="22" s="1"/>
  <c r="AL13" i="22"/>
  <c r="AL27" i="22" s="1"/>
  <c r="AK46" i="22"/>
  <c r="AK62" i="22" s="1"/>
  <c r="AK44" i="22"/>
  <c r="AK60" i="22" s="1"/>
  <c r="AJ59" i="22"/>
  <c r="AJ50" i="22"/>
  <c r="AK43" i="22"/>
  <c r="AL58" i="22"/>
  <c r="AM41" i="22"/>
  <c r="AK45" i="22"/>
  <c r="AK61" i="22" s="1"/>
  <c r="AK35" i="22"/>
  <c r="AK47" i="22" s="1"/>
  <c r="AJ55" i="22"/>
  <c r="AJ54" i="22"/>
  <c r="AM1" i="22"/>
  <c r="AL2" i="22"/>
  <c r="AK53" i="22" l="1"/>
  <c r="AK51" i="22"/>
  <c r="AK52" i="22"/>
  <c r="AM12" i="22"/>
  <c r="AM42" i="22" s="1"/>
  <c r="AM25" i="22"/>
  <c r="AM39" i="22" s="1"/>
  <c r="AM24" i="22"/>
  <c r="AM38" i="22" s="1"/>
  <c r="AM23" i="22"/>
  <c r="AM37" i="22" s="1"/>
  <c r="AM22" i="22"/>
  <c r="AM36" i="22" s="1"/>
  <c r="AM21" i="22"/>
  <c r="AM20" i="22"/>
  <c r="AM34" i="22" s="1"/>
  <c r="AM19" i="22"/>
  <c r="AM33" i="22" s="1"/>
  <c r="AM18" i="22"/>
  <c r="AM32" i="22" s="1"/>
  <c r="AM17" i="22"/>
  <c r="AM31" i="22" s="1"/>
  <c r="AM16" i="22"/>
  <c r="AM30" i="22" s="1"/>
  <c r="AM15" i="22"/>
  <c r="AM29" i="22" s="1"/>
  <c r="AM14" i="22"/>
  <c r="AM28" i="22" s="1"/>
  <c r="AM13" i="22"/>
  <c r="AM27" i="22" s="1"/>
  <c r="AL45" i="22"/>
  <c r="AL61" i="22" s="1"/>
  <c r="AM58" i="22"/>
  <c r="AN41" i="22"/>
  <c r="AK59" i="22"/>
  <c r="AK50" i="22"/>
  <c r="AL43" i="22"/>
  <c r="AL44" i="22"/>
  <c r="AL60" i="22" s="1"/>
  <c r="AL46" i="22"/>
  <c r="AL62" i="22" s="1"/>
  <c r="AL35" i="22"/>
  <c r="AL47" i="22" s="1"/>
  <c r="AL55" i="22" s="1"/>
  <c r="AK55" i="22"/>
  <c r="AK54" i="22"/>
  <c r="AN1" i="22"/>
  <c r="AM2" i="22"/>
  <c r="AL52" i="22" l="1"/>
  <c r="AL54" i="22"/>
  <c r="AL53" i="22"/>
  <c r="AL51" i="22"/>
  <c r="AN12" i="22"/>
  <c r="AN42" i="22" s="1"/>
  <c r="AN25" i="22"/>
  <c r="AN39" i="22" s="1"/>
  <c r="AN24" i="22"/>
  <c r="AN38" i="22" s="1"/>
  <c r="AN23" i="22"/>
  <c r="AN37" i="22" s="1"/>
  <c r="AN22" i="22"/>
  <c r="AN36" i="22" s="1"/>
  <c r="AN21" i="22"/>
  <c r="AN20" i="22"/>
  <c r="AN34" i="22" s="1"/>
  <c r="AN19" i="22"/>
  <c r="AN33" i="22" s="1"/>
  <c r="AN18" i="22"/>
  <c r="AN32" i="22" s="1"/>
  <c r="AN17" i="22"/>
  <c r="AN31" i="22" s="1"/>
  <c r="AN16" i="22"/>
  <c r="AN30" i="22" s="1"/>
  <c r="AN15" i="22"/>
  <c r="AN29" i="22" s="1"/>
  <c r="AN14" i="22"/>
  <c r="AN28" i="22" s="1"/>
  <c r="AN13" i="22"/>
  <c r="AN27" i="22" s="1"/>
  <c r="AM46" i="22"/>
  <c r="AM62" i="22" s="1"/>
  <c r="AM44" i="22"/>
  <c r="AM60" i="22" s="1"/>
  <c r="AL59" i="22"/>
  <c r="AL50" i="22"/>
  <c r="AM43" i="22"/>
  <c r="AN58" i="22"/>
  <c r="AO41" i="22"/>
  <c r="AM45" i="22"/>
  <c r="AM61" i="22" s="1"/>
  <c r="AM35" i="22"/>
  <c r="AM47" i="22" s="1"/>
  <c r="AM55" i="22" s="1"/>
  <c r="AO1" i="22"/>
  <c r="AN2" i="22"/>
  <c r="AM53" i="22" l="1"/>
  <c r="AM51" i="22"/>
  <c r="AM52" i="22"/>
  <c r="AM54" i="22"/>
  <c r="AO12" i="22"/>
  <c r="AO42" i="22" s="1"/>
  <c r="AO25" i="22"/>
  <c r="AO39" i="22" s="1"/>
  <c r="AO24" i="22"/>
  <c r="AO38" i="22" s="1"/>
  <c r="AO23" i="22"/>
  <c r="AO37" i="22" s="1"/>
  <c r="AO22" i="22"/>
  <c r="AO36" i="22" s="1"/>
  <c r="AO21" i="22"/>
  <c r="AO20" i="22"/>
  <c r="AO34" i="22" s="1"/>
  <c r="AO19" i="22"/>
  <c r="AO33" i="22" s="1"/>
  <c r="AO18" i="22"/>
  <c r="AO32" i="22" s="1"/>
  <c r="AO17" i="22"/>
  <c r="AO31" i="22" s="1"/>
  <c r="AO16" i="22"/>
  <c r="AO30" i="22" s="1"/>
  <c r="AO15" i="22"/>
  <c r="AO29" i="22" s="1"/>
  <c r="AO14" i="22"/>
  <c r="AO28" i="22" s="1"/>
  <c r="AO13" i="22"/>
  <c r="AO27" i="22" s="1"/>
  <c r="AN45" i="22"/>
  <c r="AN61" i="22" s="1"/>
  <c r="AO58" i="22"/>
  <c r="AP41" i="22"/>
  <c r="AM59" i="22"/>
  <c r="AM50" i="22"/>
  <c r="AN43" i="22"/>
  <c r="AN44" i="22"/>
  <c r="AN60" i="22" s="1"/>
  <c r="AN46" i="22"/>
  <c r="AN62" i="22" s="1"/>
  <c r="AN35" i="22"/>
  <c r="AN47" i="22" s="1"/>
  <c r="AN55" i="22" s="1"/>
  <c r="AP1" i="22"/>
  <c r="AO2" i="22"/>
  <c r="AN53" i="22" l="1"/>
  <c r="AN54" i="22"/>
  <c r="AN51" i="22"/>
  <c r="AN52" i="22"/>
  <c r="AP12" i="22"/>
  <c r="AP42" i="22" s="1"/>
  <c r="AP25" i="22"/>
  <c r="AP39" i="22" s="1"/>
  <c r="AP24" i="22"/>
  <c r="AP38" i="22" s="1"/>
  <c r="AP23" i="22"/>
  <c r="AP37" i="22" s="1"/>
  <c r="AP22" i="22"/>
  <c r="AP36" i="22" s="1"/>
  <c r="AP21" i="22"/>
  <c r="AP20" i="22"/>
  <c r="AP34" i="22" s="1"/>
  <c r="AP19" i="22"/>
  <c r="AP33" i="22" s="1"/>
  <c r="AP18" i="22"/>
  <c r="AP32" i="22" s="1"/>
  <c r="AP15" i="22"/>
  <c r="AP29" i="22" s="1"/>
  <c r="AP13" i="22"/>
  <c r="AP27" i="22" s="1"/>
  <c r="AP14" i="22"/>
  <c r="AP28" i="22" s="1"/>
  <c r="AP17" i="22"/>
  <c r="AP31" i="22" s="1"/>
  <c r="AP16" i="22"/>
  <c r="AP30" i="22" s="1"/>
  <c r="AO46" i="22"/>
  <c r="AO62" i="22" s="1"/>
  <c r="AO44" i="22"/>
  <c r="AO60" i="22" s="1"/>
  <c r="AN59" i="22"/>
  <c r="AN50" i="22"/>
  <c r="AO43" i="22"/>
  <c r="AO51" i="22" s="1"/>
  <c r="AP58" i="22"/>
  <c r="AQ41" i="22"/>
  <c r="AO45" i="22"/>
  <c r="AO61" i="22" s="1"/>
  <c r="AO35" i="22"/>
  <c r="AO47" i="22" s="1"/>
  <c r="AO55" i="22" s="1"/>
  <c r="AQ1" i="22"/>
  <c r="AP2" i="22"/>
  <c r="AO54" i="22" l="1"/>
  <c r="AO53" i="22"/>
  <c r="AO52" i="22"/>
  <c r="AQ12" i="22"/>
  <c r="AQ42" i="22" s="1"/>
  <c r="AQ25" i="22"/>
  <c r="AQ39" i="22" s="1"/>
  <c r="AQ24" i="22"/>
  <c r="AQ38" i="22" s="1"/>
  <c r="AQ23" i="22"/>
  <c r="AQ37" i="22" s="1"/>
  <c r="AQ22" i="22"/>
  <c r="AQ36" i="22" s="1"/>
  <c r="AQ21" i="22"/>
  <c r="AQ20" i="22"/>
  <c r="AQ34" i="22" s="1"/>
  <c r="AQ19" i="22"/>
  <c r="AQ33" i="22" s="1"/>
  <c r="AQ18" i="22"/>
  <c r="AQ32" i="22" s="1"/>
  <c r="AQ15" i="22"/>
  <c r="AQ29" i="22" s="1"/>
  <c r="AQ13" i="22"/>
  <c r="AQ27" i="22" s="1"/>
  <c r="AQ16" i="22"/>
  <c r="AQ30" i="22" s="1"/>
  <c r="AQ14" i="22"/>
  <c r="AQ28" i="22" s="1"/>
  <c r="AQ17" i="22"/>
  <c r="AQ31" i="22" s="1"/>
  <c r="AP45" i="22"/>
  <c r="AP61" i="22" s="1"/>
  <c r="AQ58" i="22"/>
  <c r="AR41" i="22"/>
  <c r="AO59" i="22"/>
  <c r="AO50" i="22"/>
  <c r="AP43" i="22"/>
  <c r="AP44" i="22"/>
  <c r="AP60" i="22" s="1"/>
  <c r="AP46" i="22"/>
  <c r="AP62" i="22" s="1"/>
  <c r="AP35" i="22"/>
  <c r="AP47" i="22" s="1"/>
  <c r="AP55" i="22" s="1"/>
  <c r="AR1" i="22"/>
  <c r="AQ2" i="22"/>
  <c r="AP52" i="22" l="1"/>
  <c r="AP53" i="22"/>
  <c r="AP54" i="22"/>
  <c r="AP51" i="22"/>
  <c r="AR12" i="22"/>
  <c r="AR42" i="22" s="1"/>
  <c r="AR25" i="22"/>
  <c r="AR39" i="22" s="1"/>
  <c r="AR24" i="22"/>
  <c r="AR38" i="22" s="1"/>
  <c r="AR23" i="22"/>
  <c r="AR37" i="22" s="1"/>
  <c r="AR22" i="22"/>
  <c r="AR36" i="22" s="1"/>
  <c r="AR21" i="22"/>
  <c r="AR20" i="22"/>
  <c r="AR34" i="22" s="1"/>
  <c r="AR19" i="22"/>
  <c r="AR33" i="22" s="1"/>
  <c r="AR18" i="22"/>
  <c r="AR32" i="22" s="1"/>
  <c r="AR15" i="22"/>
  <c r="AR29" i="22" s="1"/>
  <c r="AR14" i="22"/>
  <c r="AR28" i="22" s="1"/>
  <c r="AR13" i="22"/>
  <c r="AR27" i="22" s="1"/>
  <c r="AR17" i="22"/>
  <c r="AR31" i="22" s="1"/>
  <c r="AR45" i="22" s="1"/>
  <c r="AR16" i="22"/>
  <c r="AR30" i="22" s="1"/>
  <c r="AQ46" i="22"/>
  <c r="AQ62" i="22" s="1"/>
  <c r="AQ44" i="22"/>
  <c r="AQ60" i="22" s="1"/>
  <c r="AP59" i="22"/>
  <c r="AP50" i="22"/>
  <c r="AQ43" i="22"/>
  <c r="AQ51" i="22" s="1"/>
  <c r="AR58" i="22"/>
  <c r="AS41" i="22"/>
  <c r="AQ45" i="22"/>
  <c r="AQ61" i="22" s="1"/>
  <c r="AQ35" i="22"/>
  <c r="AQ47" i="22" s="1"/>
  <c r="AQ55" i="22" s="1"/>
  <c r="AS1" i="22"/>
  <c r="AR2" i="22"/>
  <c r="AQ53" i="22" l="1"/>
  <c r="AQ52" i="22"/>
  <c r="AQ54" i="22"/>
  <c r="AS12" i="22"/>
  <c r="AS42" i="22" s="1"/>
  <c r="AS25" i="22"/>
  <c r="AS39" i="22" s="1"/>
  <c r="AS24" i="22"/>
  <c r="AS38" i="22" s="1"/>
  <c r="AS23" i="22"/>
  <c r="AS37" i="22" s="1"/>
  <c r="AS22" i="22"/>
  <c r="AS36" i="22" s="1"/>
  <c r="AS21" i="22"/>
  <c r="AS20" i="22"/>
  <c r="AS34" i="22" s="1"/>
  <c r="AS19" i="22"/>
  <c r="AS33" i="22" s="1"/>
  <c r="AS18" i="22"/>
  <c r="AS32" i="22" s="1"/>
  <c r="AS15" i="22"/>
  <c r="AS29" i="22" s="1"/>
  <c r="AS13" i="22"/>
  <c r="AS27" i="22" s="1"/>
  <c r="AS14" i="22"/>
  <c r="AS28" i="22" s="1"/>
  <c r="AS16" i="22"/>
  <c r="AS30" i="22" s="1"/>
  <c r="AS17" i="22"/>
  <c r="AS31" i="22" s="1"/>
  <c r="AR61" i="22"/>
  <c r="AS58" i="22"/>
  <c r="AT41" i="22"/>
  <c r="AQ59" i="22"/>
  <c r="AQ50" i="22"/>
  <c r="AR43" i="22"/>
  <c r="AR44" i="22"/>
  <c r="AR60" i="22" s="1"/>
  <c r="AR46" i="22"/>
  <c r="AR62" i="22" s="1"/>
  <c r="AR35" i="22"/>
  <c r="AR47" i="22" s="1"/>
  <c r="AR55" i="22" s="1"/>
  <c r="AT1" i="22"/>
  <c r="AS2" i="22"/>
  <c r="AR52" i="22" l="1"/>
  <c r="AR53" i="22"/>
  <c r="AR54" i="22"/>
  <c r="AR51" i="22"/>
  <c r="AT12" i="22"/>
  <c r="AT42" i="22" s="1"/>
  <c r="AT25" i="22"/>
  <c r="AT39" i="22" s="1"/>
  <c r="AT24" i="22"/>
  <c r="AT38" i="22" s="1"/>
  <c r="AT23" i="22"/>
  <c r="AT37" i="22" s="1"/>
  <c r="AT22" i="22"/>
  <c r="AT36" i="22" s="1"/>
  <c r="AT21" i="22"/>
  <c r="AT20" i="22"/>
  <c r="AT34" i="22" s="1"/>
  <c r="AT19" i="22"/>
  <c r="AT33" i="22" s="1"/>
  <c r="AT18" i="22"/>
  <c r="AT32" i="22" s="1"/>
  <c r="AT15" i="22"/>
  <c r="AT29" i="22" s="1"/>
  <c r="AT13" i="22"/>
  <c r="AT27" i="22" s="1"/>
  <c r="AT14" i="22"/>
  <c r="AT28" i="22" s="1"/>
  <c r="AT16" i="22"/>
  <c r="AT30" i="22" s="1"/>
  <c r="AT17" i="22"/>
  <c r="AT31" i="22" s="1"/>
  <c r="AS46" i="22"/>
  <c r="AS62" i="22" s="1"/>
  <c r="AS44" i="22"/>
  <c r="AS60" i="22" s="1"/>
  <c r="AR59" i="22"/>
  <c r="AR50" i="22"/>
  <c r="AS43" i="22"/>
  <c r="AS52" i="22" s="1"/>
  <c r="AT58" i="22"/>
  <c r="AU41" i="22"/>
  <c r="AS45" i="22"/>
  <c r="AS61" i="22" s="1"/>
  <c r="AS35" i="22"/>
  <c r="AS47" i="22" s="1"/>
  <c r="AS55" i="22" s="1"/>
  <c r="AU1" i="22"/>
  <c r="AT2" i="22"/>
  <c r="AS53" i="22" l="1"/>
  <c r="AS54" i="22"/>
  <c r="AU12" i="22"/>
  <c r="AU42" i="22" s="1"/>
  <c r="AU25" i="22"/>
  <c r="AU39" i="22" s="1"/>
  <c r="AU24" i="22"/>
  <c r="AU38" i="22" s="1"/>
  <c r="AU23" i="22"/>
  <c r="AU37" i="22" s="1"/>
  <c r="AU22" i="22"/>
  <c r="AU36" i="22" s="1"/>
  <c r="AU21" i="22"/>
  <c r="AU20" i="22"/>
  <c r="AU34" i="22" s="1"/>
  <c r="AU19" i="22"/>
  <c r="AU33" i="22" s="1"/>
  <c r="AU18" i="22"/>
  <c r="AU32" i="22" s="1"/>
  <c r="AU15" i="22"/>
  <c r="AU29" i="22" s="1"/>
  <c r="AU13" i="22"/>
  <c r="AU27" i="22" s="1"/>
  <c r="AU16" i="22"/>
  <c r="AU30" i="22" s="1"/>
  <c r="AU14" i="22"/>
  <c r="AU28" i="22" s="1"/>
  <c r="AU17" i="22"/>
  <c r="AU31" i="22" s="1"/>
  <c r="AT45" i="22"/>
  <c r="AT61" i="22" s="1"/>
  <c r="AU58" i="22"/>
  <c r="AV41" i="22"/>
  <c r="AS51" i="22"/>
  <c r="AS59" i="22"/>
  <c r="AS50" i="22"/>
  <c r="AT43" i="22"/>
  <c r="AT44" i="22"/>
  <c r="AT60" i="22" s="1"/>
  <c r="AT46" i="22"/>
  <c r="AT62" i="22" s="1"/>
  <c r="AT35" i="22"/>
  <c r="AT47" i="22" s="1"/>
  <c r="AT55" i="22" s="1"/>
  <c r="AV1" i="22"/>
  <c r="AU2" i="22"/>
  <c r="AT54" i="22" l="1"/>
  <c r="AT53" i="22"/>
  <c r="AT52" i="22"/>
  <c r="AV12" i="22"/>
  <c r="AV42" i="22" s="1"/>
  <c r="AV25" i="22"/>
  <c r="AV39" i="22" s="1"/>
  <c r="AV24" i="22"/>
  <c r="AV38" i="22" s="1"/>
  <c r="AV23" i="22"/>
  <c r="AV37" i="22" s="1"/>
  <c r="AV22" i="22"/>
  <c r="AV36" i="22" s="1"/>
  <c r="AV21" i="22"/>
  <c r="AV20" i="22"/>
  <c r="AV34" i="22" s="1"/>
  <c r="AV19" i="22"/>
  <c r="AV33" i="22" s="1"/>
  <c r="AV18" i="22"/>
  <c r="AV32" i="22" s="1"/>
  <c r="AV15" i="22"/>
  <c r="AV29" i="22" s="1"/>
  <c r="AV13" i="22"/>
  <c r="AV27" i="22" s="1"/>
  <c r="AV16" i="22"/>
  <c r="AV30" i="22" s="1"/>
  <c r="AV14" i="22"/>
  <c r="AV28" i="22" s="1"/>
  <c r="AV17" i="22"/>
  <c r="AV31" i="22" s="1"/>
  <c r="AU46" i="22"/>
  <c r="AU62" i="22" s="1"/>
  <c r="AU44" i="22"/>
  <c r="AU60" i="22" s="1"/>
  <c r="AT51" i="22"/>
  <c r="AT59" i="22"/>
  <c r="AT50" i="22"/>
  <c r="AU43" i="22"/>
  <c r="AU52" i="22" s="1"/>
  <c r="AV58" i="22"/>
  <c r="AW41" i="22"/>
  <c r="AU45" i="22"/>
  <c r="AU61" i="22" s="1"/>
  <c r="AU35" i="22"/>
  <c r="AU47" i="22" s="1"/>
  <c r="AU55" i="22" s="1"/>
  <c r="AW1" i="22"/>
  <c r="AV2" i="22"/>
  <c r="AU53" i="22" l="1"/>
  <c r="AU54" i="22"/>
  <c r="AW12" i="22"/>
  <c r="AW42" i="22" s="1"/>
  <c r="AW25" i="22"/>
  <c r="AW39" i="22" s="1"/>
  <c r="AW24" i="22"/>
  <c r="AW38" i="22" s="1"/>
  <c r="AW23" i="22"/>
  <c r="AW37" i="22" s="1"/>
  <c r="AW22" i="22"/>
  <c r="AW36" i="22" s="1"/>
  <c r="AW21" i="22"/>
  <c r="AW20" i="22"/>
  <c r="AW34" i="22" s="1"/>
  <c r="AW19" i="22"/>
  <c r="AW33" i="22" s="1"/>
  <c r="AW18" i="22"/>
  <c r="AW32" i="22" s="1"/>
  <c r="AW15" i="22"/>
  <c r="AW29" i="22" s="1"/>
  <c r="AW13" i="22"/>
  <c r="AW27" i="22" s="1"/>
  <c r="AW14" i="22"/>
  <c r="AW28" i="22" s="1"/>
  <c r="AW16" i="22"/>
  <c r="AW30" i="22" s="1"/>
  <c r="AW17" i="22"/>
  <c r="AW31" i="22" s="1"/>
  <c r="AV45" i="22"/>
  <c r="AV61" i="22" s="1"/>
  <c r="AW58" i="22"/>
  <c r="AX41" i="22"/>
  <c r="AU51" i="22"/>
  <c r="AU59" i="22"/>
  <c r="AU50" i="22"/>
  <c r="AV43" i="22"/>
  <c r="AV44" i="22"/>
  <c r="AV60" i="22" s="1"/>
  <c r="AV46" i="22"/>
  <c r="AV62" i="22" s="1"/>
  <c r="AV35" i="22"/>
  <c r="AV47" i="22" s="1"/>
  <c r="AV55" i="22" s="1"/>
  <c r="AX1" i="22"/>
  <c r="AW2" i="22"/>
  <c r="AV53" i="22" l="1"/>
  <c r="AV54" i="22"/>
  <c r="AV52" i="22"/>
  <c r="AX12" i="22"/>
  <c r="AX42" i="22" s="1"/>
  <c r="AX25" i="22"/>
  <c r="AX39" i="22" s="1"/>
  <c r="AX24" i="22"/>
  <c r="AX38" i="22" s="1"/>
  <c r="AX23" i="22"/>
  <c r="AX37" i="22" s="1"/>
  <c r="AX22" i="22"/>
  <c r="AX36" i="22" s="1"/>
  <c r="AX21" i="22"/>
  <c r="AX20" i="22"/>
  <c r="AX34" i="22" s="1"/>
  <c r="AX19" i="22"/>
  <c r="AX33" i="22" s="1"/>
  <c r="AX18" i="22"/>
  <c r="AX32" i="22" s="1"/>
  <c r="AX15" i="22"/>
  <c r="AX29" i="22" s="1"/>
  <c r="AX13" i="22"/>
  <c r="AX27" i="22" s="1"/>
  <c r="AX14" i="22"/>
  <c r="AX28" i="22" s="1"/>
  <c r="AX16" i="22"/>
  <c r="AX30" i="22" s="1"/>
  <c r="AX17" i="22"/>
  <c r="AX31" i="22" s="1"/>
  <c r="AW46" i="22"/>
  <c r="AW62" i="22" s="1"/>
  <c r="AW44" i="22"/>
  <c r="AW60" i="22" s="1"/>
  <c r="AV51" i="22"/>
  <c r="AV59" i="22"/>
  <c r="AV50" i="22"/>
  <c r="AW43" i="22"/>
  <c r="AW52" i="22" s="1"/>
  <c r="AX58" i="22"/>
  <c r="AY41" i="22"/>
  <c r="AW45" i="22"/>
  <c r="AW61" i="22" s="1"/>
  <c r="AW35" i="22"/>
  <c r="AW47" i="22" s="1"/>
  <c r="AW55" i="22" s="1"/>
  <c r="AY1" i="22"/>
  <c r="AX2" i="22"/>
  <c r="AW53" i="22" l="1"/>
  <c r="AW54" i="22"/>
  <c r="AY12" i="22"/>
  <c r="AY42" i="22" s="1"/>
  <c r="AY25" i="22"/>
  <c r="AY39" i="22" s="1"/>
  <c r="AY24" i="22"/>
  <c r="AY38" i="22" s="1"/>
  <c r="AY23" i="22"/>
  <c r="AY37" i="22" s="1"/>
  <c r="AY22" i="22"/>
  <c r="AY36" i="22" s="1"/>
  <c r="AY21" i="22"/>
  <c r="AY20" i="22"/>
  <c r="AY34" i="22" s="1"/>
  <c r="AY19" i="22"/>
  <c r="AY33" i="22" s="1"/>
  <c r="AY18" i="22"/>
  <c r="AY32" i="22" s="1"/>
  <c r="AY15" i="22"/>
  <c r="AY29" i="22" s="1"/>
  <c r="AY13" i="22"/>
  <c r="AY27" i="22" s="1"/>
  <c r="AY16" i="22"/>
  <c r="AY30" i="22" s="1"/>
  <c r="AY14" i="22"/>
  <c r="AY28" i="22" s="1"/>
  <c r="AY17" i="22"/>
  <c r="AY31" i="22" s="1"/>
  <c r="AX45" i="22"/>
  <c r="AX61" i="22" s="1"/>
  <c r="AY58" i="22"/>
  <c r="AZ41" i="22"/>
  <c r="AW51" i="22"/>
  <c r="AW59" i="22"/>
  <c r="AW50" i="22"/>
  <c r="AX43" i="22"/>
  <c r="AX44" i="22"/>
  <c r="AX60" i="22" s="1"/>
  <c r="AX46" i="22"/>
  <c r="AX62" i="22" s="1"/>
  <c r="AX35" i="22"/>
  <c r="AX47" i="22" s="1"/>
  <c r="AX55" i="22" s="1"/>
  <c r="AZ1" i="22"/>
  <c r="AY2" i="22"/>
  <c r="AX54" i="22" l="1"/>
  <c r="AX53" i="22"/>
  <c r="AX52" i="22"/>
  <c r="AZ12" i="22"/>
  <c r="AZ42" i="22" s="1"/>
  <c r="AZ25" i="22"/>
  <c r="AZ39" i="22" s="1"/>
  <c r="AZ24" i="22"/>
  <c r="AZ38" i="22" s="1"/>
  <c r="AZ23" i="22"/>
  <c r="AZ37" i="22" s="1"/>
  <c r="AZ22" i="22"/>
  <c r="AZ36" i="22" s="1"/>
  <c r="AZ21" i="22"/>
  <c r="AZ20" i="22"/>
  <c r="AZ34" i="22" s="1"/>
  <c r="AZ19" i="22"/>
  <c r="AZ33" i="22" s="1"/>
  <c r="AZ18" i="22"/>
  <c r="AZ32" i="22" s="1"/>
  <c r="AZ15" i="22"/>
  <c r="AZ29" i="22" s="1"/>
  <c r="AZ14" i="22"/>
  <c r="AZ28" i="22" s="1"/>
  <c r="AZ13" i="22"/>
  <c r="AZ27" i="22" s="1"/>
  <c r="AZ16" i="22"/>
  <c r="AZ30" i="22" s="1"/>
  <c r="AZ17" i="22"/>
  <c r="AZ31" i="22" s="1"/>
  <c r="AY46" i="22"/>
  <c r="AY62" i="22" s="1"/>
  <c r="AY44" i="22"/>
  <c r="AY60" i="22" s="1"/>
  <c r="AX51" i="22"/>
  <c r="AX59" i="22"/>
  <c r="AX50" i="22"/>
  <c r="AY43" i="22"/>
  <c r="AY52" i="22" s="1"/>
  <c r="AZ58" i="22"/>
  <c r="BA41" i="22"/>
  <c r="AY45" i="22"/>
  <c r="AY61" i="22" s="1"/>
  <c r="AY35" i="22"/>
  <c r="AY47" i="22" s="1"/>
  <c r="AY55" i="22" s="1"/>
  <c r="BA1" i="22"/>
  <c r="AZ2" i="22"/>
  <c r="AY53" i="22" l="1"/>
  <c r="AY54" i="22"/>
  <c r="BA12" i="22"/>
  <c r="BA42" i="22" s="1"/>
  <c r="BA25" i="22"/>
  <c r="BA39" i="22" s="1"/>
  <c r="BA24" i="22"/>
  <c r="BA38" i="22" s="1"/>
  <c r="BA23" i="22"/>
  <c r="BA37" i="22" s="1"/>
  <c r="BA22" i="22"/>
  <c r="BA36" i="22" s="1"/>
  <c r="BA21" i="22"/>
  <c r="BA20" i="22"/>
  <c r="BA34" i="22" s="1"/>
  <c r="BA19" i="22"/>
  <c r="BA33" i="22" s="1"/>
  <c r="BA18" i="22"/>
  <c r="BA32" i="22" s="1"/>
  <c r="BA15" i="22"/>
  <c r="BA29" i="22" s="1"/>
  <c r="BA13" i="22"/>
  <c r="BA27" i="22" s="1"/>
  <c r="BA16" i="22"/>
  <c r="BA30" i="22" s="1"/>
  <c r="BA14" i="22"/>
  <c r="BA28" i="22" s="1"/>
  <c r="BA17" i="22"/>
  <c r="BA31" i="22" s="1"/>
  <c r="AZ45" i="22"/>
  <c r="AZ61" i="22" s="1"/>
  <c r="BA58" i="22"/>
  <c r="BB41" i="22"/>
  <c r="AY51" i="22"/>
  <c r="AY59" i="22"/>
  <c r="AY50" i="22"/>
  <c r="AZ43" i="22"/>
  <c r="AZ44" i="22"/>
  <c r="AZ60" i="22" s="1"/>
  <c r="AZ46" i="22"/>
  <c r="AZ62" i="22" s="1"/>
  <c r="AZ35" i="22"/>
  <c r="AZ47" i="22" s="1"/>
  <c r="AZ55" i="22" s="1"/>
  <c r="BB1" i="22"/>
  <c r="BA2" i="22"/>
  <c r="AZ53" i="22" l="1"/>
  <c r="AZ54" i="22"/>
  <c r="AZ52" i="22"/>
  <c r="BB12" i="22"/>
  <c r="BB42" i="22" s="1"/>
  <c r="BB25" i="22"/>
  <c r="BB39" i="22" s="1"/>
  <c r="BB24" i="22"/>
  <c r="BB38" i="22" s="1"/>
  <c r="BB23" i="22"/>
  <c r="BB37" i="22" s="1"/>
  <c r="BB22" i="22"/>
  <c r="BB36" i="22" s="1"/>
  <c r="BB21" i="22"/>
  <c r="BB20" i="22"/>
  <c r="BB34" i="22" s="1"/>
  <c r="BB19" i="22"/>
  <c r="BB33" i="22" s="1"/>
  <c r="BB18" i="22"/>
  <c r="BB32" i="22" s="1"/>
  <c r="BB15" i="22"/>
  <c r="BB29" i="22" s="1"/>
  <c r="BB13" i="22"/>
  <c r="BB27" i="22" s="1"/>
  <c r="BB16" i="22"/>
  <c r="BB30" i="22" s="1"/>
  <c r="BB14" i="22"/>
  <c r="BB28" i="22" s="1"/>
  <c r="BB17" i="22"/>
  <c r="BB31" i="22" s="1"/>
  <c r="BA46" i="22"/>
  <c r="BA62" i="22" s="1"/>
  <c r="BA44" i="22"/>
  <c r="BA60" i="22" s="1"/>
  <c r="AZ51" i="22"/>
  <c r="AZ59" i="22"/>
  <c r="AZ50" i="22"/>
  <c r="BA43" i="22"/>
  <c r="BA52" i="22" s="1"/>
  <c r="BB58" i="22"/>
  <c r="BC41" i="22"/>
  <c r="BA45" i="22"/>
  <c r="BA61" i="22" s="1"/>
  <c r="BA35" i="22"/>
  <c r="BA47" i="22" s="1"/>
  <c r="BA55" i="22" s="1"/>
  <c r="BA53" i="22"/>
  <c r="BC1" i="22"/>
  <c r="BB2" i="22"/>
  <c r="BA54" i="22" l="1"/>
  <c r="BC12" i="22"/>
  <c r="BC42" i="22" s="1"/>
  <c r="BC25" i="22"/>
  <c r="BC39" i="22" s="1"/>
  <c r="BC24" i="22"/>
  <c r="BC38" i="22" s="1"/>
  <c r="BC23" i="22"/>
  <c r="BC37" i="22" s="1"/>
  <c r="BC22" i="22"/>
  <c r="BC36" i="22" s="1"/>
  <c r="BC21" i="22"/>
  <c r="BC20" i="22"/>
  <c r="BC34" i="22" s="1"/>
  <c r="BC19" i="22"/>
  <c r="BC33" i="22" s="1"/>
  <c r="BC18" i="22"/>
  <c r="BC32" i="22" s="1"/>
  <c r="BC15" i="22"/>
  <c r="BC29" i="22" s="1"/>
  <c r="BC13" i="22"/>
  <c r="BC27" i="22" s="1"/>
  <c r="BC14" i="22"/>
  <c r="BC28" i="22" s="1"/>
  <c r="BC16" i="22"/>
  <c r="BC30" i="22" s="1"/>
  <c r="BC17" i="22"/>
  <c r="BC31" i="22" s="1"/>
  <c r="BB45" i="22"/>
  <c r="BB61" i="22" s="1"/>
  <c r="BC58" i="22"/>
  <c r="BD41" i="22"/>
  <c r="BA51" i="22"/>
  <c r="BA59" i="22"/>
  <c r="BA50" i="22"/>
  <c r="BB43" i="22"/>
  <c r="BB44" i="22"/>
  <c r="BB60" i="22" s="1"/>
  <c r="BB46" i="22"/>
  <c r="BB62" i="22" s="1"/>
  <c r="BB35" i="22"/>
  <c r="BB47" i="22" s="1"/>
  <c r="BB55" i="22" s="1"/>
  <c r="BD1" i="22"/>
  <c r="BC2" i="22"/>
  <c r="BB54" i="22" l="1"/>
  <c r="BB53" i="22"/>
  <c r="BB52" i="22"/>
  <c r="BD12" i="22"/>
  <c r="BD42" i="22" s="1"/>
  <c r="BD25" i="22"/>
  <c r="BD39" i="22" s="1"/>
  <c r="BD24" i="22"/>
  <c r="BD38" i="22" s="1"/>
  <c r="BD23" i="22"/>
  <c r="BD37" i="22" s="1"/>
  <c r="BD22" i="22"/>
  <c r="BD36" i="22" s="1"/>
  <c r="BD21" i="22"/>
  <c r="BD20" i="22"/>
  <c r="BD34" i="22" s="1"/>
  <c r="BD19" i="22"/>
  <c r="BD33" i="22" s="1"/>
  <c r="BD18" i="22"/>
  <c r="BD32" i="22" s="1"/>
  <c r="BD15" i="22"/>
  <c r="BD29" i="22" s="1"/>
  <c r="BD13" i="22"/>
  <c r="BD27" i="22" s="1"/>
  <c r="BD16" i="22"/>
  <c r="BD30" i="22" s="1"/>
  <c r="BD14" i="22"/>
  <c r="BD28" i="22" s="1"/>
  <c r="BD17" i="22"/>
  <c r="BD31" i="22" s="1"/>
  <c r="BC46" i="22"/>
  <c r="BC62" i="22" s="1"/>
  <c r="BC44" i="22"/>
  <c r="BC60" i="22" s="1"/>
  <c r="BB51" i="22"/>
  <c r="BB59" i="22"/>
  <c r="BB50" i="22"/>
  <c r="BC43" i="22"/>
  <c r="BC52" i="22" s="1"/>
  <c r="BD58" i="22"/>
  <c r="BE41" i="22"/>
  <c r="BC45" i="22"/>
  <c r="BC61" i="22" s="1"/>
  <c r="BC35" i="22"/>
  <c r="BC47" i="22" s="1"/>
  <c r="BC55" i="22" s="1"/>
  <c r="BE1" i="22"/>
  <c r="BD2" i="22"/>
  <c r="BC53" i="22" l="1"/>
  <c r="BC54" i="22"/>
  <c r="BE12" i="22"/>
  <c r="BE42" i="22" s="1"/>
  <c r="BE25" i="22"/>
  <c r="BE39" i="22" s="1"/>
  <c r="BE24" i="22"/>
  <c r="BE38" i="22" s="1"/>
  <c r="BE23" i="22"/>
  <c r="BE37" i="22" s="1"/>
  <c r="BE22" i="22"/>
  <c r="BE36" i="22" s="1"/>
  <c r="BE21" i="22"/>
  <c r="BE20" i="22"/>
  <c r="BE34" i="22" s="1"/>
  <c r="BE19" i="22"/>
  <c r="BE33" i="22" s="1"/>
  <c r="BE18" i="22"/>
  <c r="BE32" i="22" s="1"/>
  <c r="BE15" i="22"/>
  <c r="BE29" i="22" s="1"/>
  <c r="BE13" i="22"/>
  <c r="BE27" i="22" s="1"/>
  <c r="BE14" i="22"/>
  <c r="BE28" i="22" s="1"/>
  <c r="BE16" i="22"/>
  <c r="BE30" i="22" s="1"/>
  <c r="BE17" i="22"/>
  <c r="BE31" i="22" s="1"/>
  <c r="BE58" i="22"/>
  <c r="BF41" i="22"/>
  <c r="BC51" i="22"/>
  <c r="BC59" i="22"/>
  <c r="BC50" i="22"/>
  <c r="BD43" i="22"/>
  <c r="BD44" i="22"/>
  <c r="BD60" i="22" s="1"/>
  <c r="BD46" i="22"/>
  <c r="BD62" i="22" s="1"/>
  <c r="BD45" i="22"/>
  <c r="BD61" i="22" s="1"/>
  <c r="BD35" i="22"/>
  <c r="BD47" i="22" s="1"/>
  <c r="BD55" i="22" s="1"/>
  <c r="BF1" i="22"/>
  <c r="BE2" i="22"/>
  <c r="BD54" i="22" l="1"/>
  <c r="BD52" i="22"/>
  <c r="BD53" i="22"/>
  <c r="BF12" i="22"/>
  <c r="BF42" i="22" s="1"/>
  <c r="BF25" i="22"/>
  <c r="BF39" i="22" s="1"/>
  <c r="BF24" i="22"/>
  <c r="BF38" i="22" s="1"/>
  <c r="BF23" i="22"/>
  <c r="BF37" i="22" s="1"/>
  <c r="BF22" i="22"/>
  <c r="BF36" i="22" s="1"/>
  <c r="BF21" i="22"/>
  <c r="BF20" i="22"/>
  <c r="BF34" i="22" s="1"/>
  <c r="BF19" i="22"/>
  <c r="BF33" i="22" s="1"/>
  <c r="BF18" i="22"/>
  <c r="BF32" i="22" s="1"/>
  <c r="BF15" i="22"/>
  <c r="BF29" i="22" s="1"/>
  <c r="BF13" i="22"/>
  <c r="BF27" i="22" s="1"/>
  <c r="BF14" i="22"/>
  <c r="BF28" i="22" s="1"/>
  <c r="BF16" i="22"/>
  <c r="BF30" i="22" s="1"/>
  <c r="BF17" i="22"/>
  <c r="BF31" i="22" s="1"/>
  <c r="BE45" i="22"/>
  <c r="BE61" i="22" s="1"/>
  <c r="BE46" i="22"/>
  <c r="BE62" i="22" s="1"/>
  <c r="BE44" i="22"/>
  <c r="BE60" i="22" s="1"/>
  <c r="BD51" i="22"/>
  <c r="BD59" i="22"/>
  <c r="BD50" i="22"/>
  <c r="BE43" i="22"/>
  <c r="BE52" i="22" s="1"/>
  <c r="BF58" i="22"/>
  <c r="BG41" i="22"/>
  <c r="BE35" i="22"/>
  <c r="BE47" i="22" s="1"/>
  <c r="BE55" i="22" s="1"/>
  <c r="BG1" i="22"/>
  <c r="BF2" i="22"/>
  <c r="BE53" i="22" l="1"/>
  <c r="BE54" i="22"/>
  <c r="BG12" i="22"/>
  <c r="BG42" i="22" s="1"/>
  <c r="BG25" i="22"/>
  <c r="BG39" i="22" s="1"/>
  <c r="BG24" i="22"/>
  <c r="BG38" i="22" s="1"/>
  <c r="BG23" i="22"/>
  <c r="BG37" i="22" s="1"/>
  <c r="BG22" i="22"/>
  <c r="BG36" i="22" s="1"/>
  <c r="BG21" i="22"/>
  <c r="BG20" i="22"/>
  <c r="BG34" i="22" s="1"/>
  <c r="BG19" i="22"/>
  <c r="BG33" i="22" s="1"/>
  <c r="BG18" i="22"/>
  <c r="BG32" i="22" s="1"/>
  <c r="BG15" i="22"/>
  <c r="BG29" i="22" s="1"/>
  <c r="BG13" i="22"/>
  <c r="BG27" i="22" s="1"/>
  <c r="BG16" i="22"/>
  <c r="BG30" i="22" s="1"/>
  <c r="BG14" i="22"/>
  <c r="BG28" i="22" s="1"/>
  <c r="BG17" i="22"/>
  <c r="BG31" i="22" s="1"/>
  <c r="BG58" i="22"/>
  <c r="BH41" i="22"/>
  <c r="BE51" i="22"/>
  <c r="BE59" i="22"/>
  <c r="BE50" i="22"/>
  <c r="BF43" i="22"/>
  <c r="BF44" i="22"/>
  <c r="BF60" i="22" s="1"/>
  <c r="BF46" i="22"/>
  <c r="BF62" i="22" s="1"/>
  <c r="BF45" i="22"/>
  <c r="BF61" i="22" s="1"/>
  <c r="BF35" i="22"/>
  <c r="BF47" i="22" s="1"/>
  <c r="BF55" i="22" s="1"/>
  <c r="BH1" i="22"/>
  <c r="BG2" i="22"/>
  <c r="BF54" i="22" l="1"/>
  <c r="BF52" i="22"/>
  <c r="BF53" i="22"/>
  <c r="BH12" i="22"/>
  <c r="BH42" i="22" s="1"/>
  <c r="BH25" i="22"/>
  <c r="BH39" i="22" s="1"/>
  <c r="BH24" i="22"/>
  <c r="BH38" i="22" s="1"/>
  <c r="BH23" i="22"/>
  <c r="BH37" i="22" s="1"/>
  <c r="BH22" i="22"/>
  <c r="BH36" i="22" s="1"/>
  <c r="BH21" i="22"/>
  <c r="BH20" i="22"/>
  <c r="BH34" i="22" s="1"/>
  <c r="BH19" i="22"/>
  <c r="BH33" i="22" s="1"/>
  <c r="BH18" i="22"/>
  <c r="BH32" i="22" s="1"/>
  <c r="BH15" i="22"/>
  <c r="BH29" i="22" s="1"/>
  <c r="BH14" i="22"/>
  <c r="BH28" i="22" s="1"/>
  <c r="BH13" i="22"/>
  <c r="BH27" i="22" s="1"/>
  <c r="BH16" i="22"/>
  <c r="BH30" i="22" s="1"/>
  <c r="BH17" i="22"/>
  <c r="BH31" i="22" s="1"/>
  <c r="BG45" i="22"/>
  <c r="BG61" i="22" s="1"/>
  <c r="BG46" i="22"/>
  <c r="BG62" i="22" s="1"/>
  <c r="BG44" i="22"/>
  <c r="BG60" i="22" s="1"/>
  <c r="BF51" i="22"/>
  <c r="BF59" i="22"/>
  <c r="BF50" i="22"/>
  <c r="BG43" i="22"/>
  <c r="BG52" i="22" s="1"/>
  <c r="BH58" i="22"/>
  <c r="BI41" i="22"/>
  <c r="BG35" i="22"/>
  <c r="BG47" i="22" s="1"/>
  <c r="BG55" i="22" s="1"/>
  <c r="BI1" i="22"/>
  <c r="BH2" i="22"/>
  <c r="BG54" i="22" l="1"/>
  <c r="BG53" i="22"/>
  <c r="BI12" i="22"/>
  <c r="BI42" i="22" s="1"/>
  <c r="BI25" i="22"/>
  <c r="BI39" i="22" s="1"/>
  <c r="BI24" i="22"/>
  <c r="BI38" i="22" s="1"/>
  <c r="BI23" i="22"/>
  <c r="BI37" i="22" s="1"/>
  <c r="BI22" i="22"/>
  <c r="BI36" i="22" s="1"/>
  <c r="BI21" i="22"/>
  <c r="BI20" i="22"/>
  <c r="BI34" i="22" s="1"/>
  <c r="BI19" i="22"/>
  <c r="BI33" i="22" s="1"/>
  <c r="BI18" i="22"/>
  <c r="BI32" i="22" s="1"/>
  <c r="BI15" i="22"/>
  <c r="BI29" i="22" s="1"/>
  <c r="BI13" i="22"/>
  <c r="BI27" i="22" s="1"/>
  <c r="BI16" i="22"/>
  <c r="BI30" i="22" s="1"/>
  <c r="BI14" i="22"/>
  <c r="BI28" i="22" s="1"/>
  <c r="BI17" i="22"/>
  <c r="BI31" i="22" s="1"/>
  <c r="BI58" i="22"/>
  <c r="BJ41" i="22"/>
  <c r="BG51" i="22"/>
  <c r="BG59" i="22"/>
  <c r="BG50" i="22"/>
  <c r="BH43" i="22"/>
  <c r="BH44" i="22"/>
  <c r="BH60" i="22" s="1"/>
  <c r="BH46" i="22"/>
  <c r="BH62" i="22" s="1"/>
  <c r="BH45" i="22"/>
  <c r="BH61" i="22" s="1"/>
  <c r="BH35" i="22"/>
  <c r="BH47" i="22" s="1"/>
  <c r="BH55" i="22" s="1"/>
  <c r="BJ1" i="22"/>
  <c r="BI2" i="22"/>
  <c r="BH54" i="22" l="1"/>
  <c r="BH52" i="22"/>
  <c r="BH53" i="22"/>
  <c r="BJ12" i="22"/>
  <c r="BJ42" i="22" s="1"/>
  <c r="BJ25" i="22"/>
  <c r="BJ39" i="22" s="1"/>
  <c r="BJ24" i="22"/>
  <c r="BJ38" i="22" s="1"/>
  <c r="BJ23" i="22"/>
  <c r="BJ37" i="22" s="1"/>
  <c r="BJ22" i="22"/>
  <c r="BJ36" i="22" s="1"/>
  <c r="BJ21" i="22"/>
  <c r="BJ20" i="22"/>
  <c r="BJ34" i="22" s="1"/>
  <c r="BJ19" i="22"/>
  <c r="BJ33" i="22" s="1"/>
  <c r="BJ18" i="22"/>
  <c r="BJ32" i="22" s="1"/>
  <c r="BJ15" i="22"/>
  <c r="BJ29" i="22" s="1"/>
  <c r="BJ13" i="22"/>
  <c r="BJ27" i="22" s="1"/>
  <c r="BJ14" i="22"/>
  <c r="BJ28" i="22" s="1"/>
  <c r="BJ16" i="22"/>
  <c r="BJ30" i="22" s="1"/>
  <c r="BJ17" i="22"/>
  <c r="BJ31" i="22" s="1"/>
  <c r="BI45" i="22"/>
  <c r="BI61" i="22" s="1"/>
  <c r="BI46" i="22"/>
  <c r="BI62" i="22" s="1"/>
  <c r="BI44" i="22"/>
  <c r="BI60" i="22" s="1"/>
  <c r="BH51" i="22"/>
  <c r="BH59" i="22"/>
  <c r="BH50" i="22"/>
  <c r="BI43" i="22"/>
  <c r="BI52" i="22" s="1"/>
  <c r="BJ58" i="22"/>
  <c r="BK41" i="22"/>
  <c r="BI35" i="22"/>
  <c r="BI47" i="22" s="1"/>
  <c r="BI55" i="22" s="1"/>
  <c r="BK1" i="22"/>
  <c r="BJ2" i="22"/>
  <c r="BI53" i="22" l="1"/>
  <c r="BI54" i="22"/>
  <c r="BK12" i="22"/>
  <c r="BK42" i="22" s="1"/>
  <c r="BK25" i="22"/>
  <c r="BK39" i="22" s="1"/>
  <c r="BK24" i="22"/>
  <c r="BK38" i="22" s="1"/>
  <c r="BK23" i="22"/>
  <c r="BK37" i="22" s="1"/>
  <c r="BK22" i="22"/>
  <c r="BK36" i="22" s="1"/>
  <c r="BK21" i="22"/>
  <c r="BK20" i="22"/>
  <c r="BK34" i="22" s="1"/>
  <c r="BK19" i="22"/>
  <c r="BK33" i="22" s="1"/>
  <c r="BK18" i="22"/>
  <c r="BK32" i="22" s="1"/>
  <c r="BK15" i="22"/>
  <c r="BK29" i="22" s="1"/>
  <c r="BK13" i="22"/>
  <c r="BK27" i="22" s="1"/>
  <c r="BK16" i="22"/>
  <c r="BK30" i="22" s="1"/>
  <c r="BK14" i="22"/>
  <c r="BK28" i="22" s="1"/>
  <c r="BK17" i="22"/>
  <c r="BK31" i="22" s="1"/>
  <c r="BK58" i="22"/>
  <c r="BL41" i="22"/>
  <c r="BI51" i="22"/>
  <c r="BI59" i="22"/>
  <c r="BI50" i="22"/>
  <c r="BJ43" i="22"/>
  <c r="BJ44" i="22"/>
  <c r="BJ60" i="22" s="1"/>
  <c r="BJ46" i="22"/>
  <c r="BJ62" i="22" s="1"/>
  <c r="BJ45" i="22"/>
  <c r="BJ61" i="22" s="1"/>
  <c r="BJ35" i="22"/>
  <c r="BJ47" i="22" s="1"/>
  <c r="BJ55" i="22" s="1"/>
  <c r="BL1" i="22"/>
  <c r="BK2" i="22"/>
  <c r="BJ54" i="22" l="1"/>
  <c r="BJ52" i="22"/>
  <c r="BJ53" i="22"/>
  <c r="BL12" i="22"/>
  <c r="BL42" i="22" s="1"/>
  <c r="BL25" i="22"/>
  <c r="BL39" i="22" s="1"/>
  <c r="BL24" i="22"/>
  <c r="BL38" i="22" s="1"/>
  <c r="BL23" i="22"/>
  <c r="BL37" i="22" s="1"/>
  <c r="BL22" i="22"/>
  <c r="BL36" i="22" s="1"/>
  <c r="BL21" i="22"/>
  <c r="BL20" i="22"/>
  <c r="BL34" i="22" s="1"/>
  <c r="BL19" i="22"/>
  <c r="BL33" i="22" s="1"/>
  <c r="BL18" i="22"/>
  <c r="BL32" i="22" s="1"/>
  <c r="BL15" i="22"/>
  <c r="BL29" i="22" s="1"/>
  <c r="BL13" i="22"/>
  <c r="BL27" i="22" s="1"/>
  <c r="BL16" i="22"/>
  <c r="BL30" i="22" s="1"/>
  <c r="BL14" i="22"/>
  <c r="BL28" i="22" s="1"/>
  <c r="BL17" i="22"/>
  <c r="BL31" i="22" s="1"/>
  <c r="BK45" i="22"/>
  <c r="BK61" i="22" s="1"/>
  <c r="BK46" i="22"/>
  <c r="BK62" i="22" s="1"/>
  <c r="BK44" i="22"/>
  <c r="BK60" i="22" s="1"/>
  <c r="BJ51" i="22"/>
  <c r="BJ59" i="22"/>
  <c r="BJ50" i="22"/>
  <c r="BK43" i="22"/>
  <c r="BK52" i="22" s="1"/>
  <c r="BL58" i="22"/>
  <c r="BM41" i="22"/>
  <c r="BK35" i="22"/>
  <c r="BK47" i="22" s="1"/>
  <c r="BK55" i="22" s="1"/>
  <c r="BM1" i="22"/>
  <c r="BL2" i="22"/>
  <c r="BK53" i="22" l="1"/>
  <c r="BK54" i="22"/>
  <c r="BM12" i="22"/>
  <c r="BM42" i="22" s="1"/>
  <c r="BM25" i="22"/>
  <c r="BM39" i="22" s="1"/>
  <c r="BM24" i="22"/>
  <c r="BM38" i="22" s="1"/>
  <c r="BM23" i="22"/>
  <c r="BM37" i="22" s="1"/>
  <c r="BM22" i="22"/>
  <c r="BM36" i="22" s="1"/>
  <c r="BM21" i="22"/>
  <c r="BM20" i="22"/>
  <c r="BM34" i="22" s="1"/>
  <c r="BM19" i="22"/>
  <c r="BM33" i="22" s="1"/>
  <c r="BM18" i="22"/>
  <c r="BM32" i="22" s="1"/>
  <c r="BM15" i="22"/>
  <c r="BM29" i="22" s="1"/>
  <c r="BM13" i="22"/>
  <c r="BM27" i="22" s="1"/>
  <c r="BM14" i="22"/>
  <c r="BM28" i="22" s="1"/>
  <c r="BM16" i="22"/>
  <c r="BM30" i="22" s="1"/>
  <c r="BM17" i="22"/>
  <c r="BM31" i="22" s="1"/>
  <c r="BM58" i="22"/>
  <c r="BN41" i="22"/>
  <c r="BK51" i="22"/>
  <c r="BK59" i="22"/>
  <c r="BK50" i="22"/>
  <c r="BL43" i="22"/>
  <c r="BL44" i="22"/>
  <c r="BL60" i="22" s="1"/>
  <c r="BL46" i="22"/>
  <c r="BL62" i="22" s="1"/>
  <c r="BL45" i="22"/>
  <c r="BL61" i="22" s="1"/>
  <c r="BL35" i="22"/>
  <c r="BL47" i="22" s="1"/>
  <c r="BL55" i="22" s="1"/>
  <c r="BN1" i="22"/>
  <c r="BM2" i="22"/>
  <c r="BL54" i="22" l="1"/>
  <c r="BL52" i="22"/>
  <c r="BL53" i="22"/>
  <c r="BN12" i="22"/>
  <c r="BN42" i="22" s="1"/>
  <c r="BN25" i="22"/>
  <c r="BN39" i="22" s="1"/>
  <c r="BN24" i="22"/>
  <c r="BN38" i="22" s="1"/>
  <c r="BN46" i="22" s="1"/>
  <c r="BN23" i="22"/>
  <c r="BN37" i="22" s="1"/>
  <c r="BN22" i="22"/>
  <c r="BN36" i="22" s="1"/>
  <c r="BN21" i="22"/>
  <c r="BN20" i="22"/>
  <c r="BN34" i="22" s="1"/>
  <c r="BN19" i="22"/>
  <c r="BN33" i="22" s="1"/>
  <c r="BN18" i="22"/>
  <c r="BN32" i="22" s="1"/>
  <c r="BN15" i="22"/>
  <c r="BN29" i="22" s="1"/>
  <c r="BN13" i="22"/>
  <c r="BN27" i="22" s="1"/>
  <c r="BN14" i="22"/>
  <c r="BN28" i="22" s="1"/>
  <c r="BN43" i="22" s="1"/>
  <c r="BN50" i="22" s="1"/>
  <c r="BN16" i="22"/>
  <c r="BN30" i="22" s="1"/>
  <c r="BN44" i="22" s="1"/>
  <c r="BN17" i="22"/>
  <c r="BN31" i="22" s="1"/>
  <c r="BM45" i="22"/>
  <c r="BM61" i="22" s="1"/>
  <c r="BM46" i="22"/>
  <c r="BM62" i="22" s="1"/>
  <c r="BM44" i="22"/>
  <c r="BM60" i="22" s="1"/>
  <c r="BL51" i="22"/>
  <c r="BL59" i="22"/>
  <c r="BL50" i="22"/>
  <c r="BM43" i="22"/>
  <c r="BM52" i="22" s="1"/>
  <c r="BN58" i="22"/>
  <c r="BM35" i="22"/>
  <c r="BM47" i="22" s="1"/>
  <c r="BM55" i="22" s="1"/>
  <c r="BN2" i="22"/>
  <c r="BM54" i="22" l="1"/>
  <c r="BM53" i="22"/>
  <c r="BM51" i="22"/>
  <c r="BM59" i="22"/>
  <c r="BM50" i="22"/>
  <c r="BN51" i="22"/>
  <c r="BN59" i="22"/>
  <c r="BN60" i="22"/>
  <c r="BN62" i="22"/>
  <c r="BN45" i="22"/>
  <c r="BN61" i="22" s="1"/>
  <c r="BN35" i="22"/>
  <c r="BN47" i="22" s="1"/>
  <c r="BN55" i="22" s="1"/>
  <c r="BN53" i="22"/>
  <c r="BN52" i="22"/>
  <c r="BN54" i="22" l="1"/>
</calcChain>
</file>

<file path=xl/sharedStrings.xml><?xml version="1.0" encoding="utf-8"?>
<sst xmlns="http://schemas.openxmlformats.org/spreadsheetml/2006/main" count="368" uniqueCount="128">
  <si>
    <t>Post-mining land uses (PMLU)</t>
  </si>
  <si>
    <t>Rehabilitation area</t>
  </si>
  <si>
    <t>RA1 - Elevated Landform - Overburden Dumps - Upper</t>
  </si>
  <si>
    <t>Relevant activities</t>
  </si>
  <si>
    <t>Overburden / Interburden Waste Dump Tops</t>
  </si>
  <si>
    <t>Total rehabilitation area size (ha)</t>
  </si>
  <si>
    <t>Commencement of first milestone:
RM2</t>
  </si>
  <si>
    <t>PMLU</t>
  </si>
  <si>
    <t>Native Bushland</t>
  </si>
  <si>
    <t>Date area is available</t>
  </si>
  <si>
    <t>Cumulative area available (ha)</t>
  </si>
  <si>
    <t>Milestone completed by</t>
  </si>
  <si>
    <t>Milestone Reference</t>
  </si>
  <si>
    <t>Cumulative area achieved (ha)</t>
  </si>
  <si>
    <t>RM2</t>
  </si>
  <si>
    <t>RM4</t>
  </si>
  <si>
    <t>RM6</t>
  </si>
  <si>
    <t>RM8</t>
  </si>
  <si>
    <t>RM10</t>
  </si>
  <si>
    <t>RM11</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</si>
  <si>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</si>
  <si>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</si>
  <si>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</si>
  <si>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t>4) Insert the relevant number in the "Milestone reference" column (i.e. RM1).</t>
  </si>
  <si>
    <t>RA2 - Elevated Landform - Overburden Dumps - Slopes</t>
  </si>
  <si>
    <t>Overburden / Interburden Waste Dump Slopes</t>
  </si>
  <si>
    <t>RA3 - Backfilled Pits - Overburden Dumps</t>
  </si>
  <si>
    <t>Overburden / Interburden Waste Dumps within Mined Pit Shell</t>
  </si>
  <si>
    <t>RA4 - Infrastructure Areas - Access Tracks and Haul Roads </t>
  </si>
  <si>
    <t>Product Coal Haul Road and other Surface Mine Haulage and Access Roads</t>
  </si>
  <si>
    <t>Low Intensity Grazing</t>
  </si>
  <si>
    <t>RM1</t>
  </si>
  <si>
    <t>RM5</t>
  </si>
  <si>
    <t>RM7</t>
  </si>
  <si>
    <t>RM9</t>
  </si>
  <si>
    <t>RA5 - Infrastructure Areas - ROM</t>
  </si>
  <si>
    <t>ROM Stockile, Hopper and Crusher/Conveyor</t>
  </si>
  <si>
    <t>Commencement of first milestone:
RM1</t>
  </si>
  <si>
    <t>RA6 - Infrastructure Areas - CHPP General Area</t>
  </si>
  <si>
    <t>Coal Preparation Plant</t>
  </si>
  <si>
    <t>RA7 - Infrastructure Areas - Mine Infrastructure Area</t>
  </si>
  <si>
    <t>Area associated with MIA</t>
  </si>
  <si>
    <t>RA8 - Water Management Structures </t>
  </si>
  <si>
    <t>Dams/Drains/Levees</t>
  </si>
  <si>
    <t>RA9 - Elevated Landform Co-disposal  - Upper</t>
  </si>
  <si>
    <t>Co-disposal Turkey's Nest Dam Site</t>
  </si>
  <si>
    <t>RM3</t>
  </si>
  <si>
    <t>RA10 - Elevated Landform Co-disposal  - Slopes</t>
  </si>
  <si>
    <t>Non-use management area (NUMA)</t>
  </si>
  <si>
    <t>Improvement area</t>
  </si>
  <si>
    <t>IA1 - Residual Voids including Ramps</t>
  </si>
  <si>
    <t>Final Void and Ramps into Void</t>
  </si>
  <si>
    <t>Total size (ha)</t>
  </si>
  <si>
    <t>Commencement of first milestone: 
MM1</t>
  </si>
  <si>
    <t>NUMA</t>
  </si>
  <si>
    <t>Non Use Management Area associated with Pit Void</t>
  </si>
  <si>
    <t>MM1</t>
  </si>
  <si>
    <t>MM2</t>
  </si>
  <si>
    <t>MM3</t>
  </si>
  <si>
    <r>
      <t xml:space="preserve">1) Insert new columns to the </t>
    </r>
    <r>
      <rPr>
        <b/>
        <u/>
        <sz val="11"/>
        <color theme="1"/>
        <rFont val="Calibri"/>
        <family val="2"/>
        <scheme val="minor"/>
      </rPr>
      <t>yellow table</t>
    </r>
    <r>
      <rPr>
        <b/>
        <sz val="11"/>
        <color theme="1"/>
        <rFont val="Calibri"/>
        <family val="2"/>
        <scheme val="minor"/>
      </rPr>
      <t xml:space="preserve"> to include further management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</si>
  <si>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management milestone dates.</t>
    </r>
  </si>
  <si>
    <t>3) Insert new rows to the blue table to include additional management milestone references.</t>
  </si>
  <si>
    <t>4) Insert the relevant number in the "Milestone reference" column (i.e. MM1).</t>
  </si>
  <si>
    <t>Milestone reference</t>
  </si>
  <si>
    <t>Rehabilitation milestone</t>
  </si>
  <si>
    <t>Milestone criteria</t>
  </si>
  <si>
    <t>Infrastructure decommissioning &amp; removal</t>
  </si>
  <si>
    <t>Install cover system/cap</t>
  </si>
  <si>
    <t>a). Cover installed over reject/coal stockpile surfaces (nominally 1m inert overburden)</t>
  </si>
  <si>
    <t>Surface preparation (e.g. topsoil, fertiliser, amelioration agents, mulch or woody debris)</t>
  </si>
  <si>
    <t>Revegetation (grazing)</t>
  </si>
  <si>
    <t>Achievement of surface requirements (grazing)</t>
  </si>
  <si>
    <t>Achievement of surface requirements (native bushland)</t>
  </si>
  <si>
    <t>Achievement of post-mining land use to stable condition (grazing)</t>
  </si>
  <si>
    <t>Achievement of post-mining land use to stable condition (native bushland)</t>
  </si>
  <si>
    <t>Install fencing or other infrastructure to support the PMLU</t>
  </si>
  <si>
    <t>a). Fencing / bunding installed to exclude stock</t>
  </si>
  <si>
    <t>1) Insert new rows below the table to record more Rehabilitation Area Milestones for the project</t>
  </si>
  <si>
    <t>2) Ensure all Rehabilitation Milestones recorded in this table align with those included in the RA sheets in this form.</t>
  </si>
  <si>
    <t>3) See the PRCP guideline before developing site-specific Rehabilitation Area Milestones</t>
  </si>
  <si>
    <t>Management milestone</t>
  </si>
  <si>
    <t>Highwall treatment</t>
  </si>
  <si>
    <t>a). Highwall crest battered back where required to achieve a stable slope angle as specified by an AQP (geotechnical engineer)</t>
  </si>
  <si>
    <t>Achievement of sufficient improvement</t>
  </si>
  <si>
    <t>MM4</t>
  </si>
  <si>
    <t>MM5</t>
  </si>
  <si>
    <t>MM6</t>
  </si>
  <si>
    <t>MM7</t>
  </si>
  <si>
    <t>MM8</t>
  </si>
  <si>
    <t>MM9</t>
  </si>
  <si>
    <t>MM10</t>
  </si>
  <si>
    <t>1) Insert new rows below the table to record more Improvement Area Milestones for the project</t>
  </si>
  <si>
    <t>2) Ensure all Management Milestones recorded in this table align with those included in the IA sheets in this form.</t>
  </si>
  <si>
    <t>3) See the PRCP guideline before developing site-specific Improvement Area Milestones</t>
  </si>
  <si>
    <t>Disturbance</t>
  </si>
  <si>
    <t xml:space="preserve">Pit </t>
  </si>
  <si>
    <t>Dump</t>
  </si>
  <si>
    <t>CDA</t>
  </si>
  <si>
    <t>MIA/HR</t>
  </si>
  <si>
    <t>Water</t>
  </si>
  <si>
    <t>Lookup</t>
  </si>
  <si>
    <t>Available</t>
  </si>
  <si>
    <t>Max Cumulative</t>
  </si>
  <si>
    <t>Cumulative Status</t>
  </si>
  <si>
    <t>Disturbed</t>
  </si>
  <si>
    <t>Regrade</t>
  </si>
  <si>
    <t>Topsoil</t>
  </si>
  <si>
    <t>Reveg</t>
  </si>
  <si>
    <t>Void</t>
  </si>
  <si>
    <t>Certified</t>
  </si>
  <si>
    <t>Summary Status</t>
  </si>
  <si>
    <t>Regraded</t>
  </si>
  <si>
    <t>Topsoiled</t>
  </si>
  <si>
    <t>Annual Completed</t>
  </si>
  <si>
    <t>a). Rehabilitation has been certified by an AQP to be:
•	structurally stable (FoS ≥ 1.5) and slopes are designed in accordance with EA criteria  
•	erosionally stable: no severe erosion gullies (&lt;4m² in cross section) and erosion rates are less than 40tonnes/ha/year and groundcover established and meets criteria in RM7
b). pH and EC indicators for surface water runoff demonstrate the water quality is suitable for the receiving environment and are consistent with water quality indicators of the upstream reference site
c). The rehabilitated land meets Class 4 land suitability for grazing using the Guidelines for agricultural land evaluation in Queensland (2nd edn) (DSITI &amp; DNRM, 2015).</t>
  </si>
  <si>
    <t xml:space="preserve">a). Rehabilitation has been certified by an AQP to be:
•	structurally stable (FoS ≥ 1.5) and slopes and dump heights are designed in accordance with EA criteria  
•	erosionally stable: no severe erosion gullies (&lt;4m² in cross section) and erosion rates are less than 40tonnes/ha/year and groundcover established and meets criteria in RM9
b). pH and EC indicators for surface water runoff demonstrate the water quality is suitable for the receiving environment and are consistent with water quality indicators of the upstream reference site
c). The established native ecosystem has a similar composition to the previous existing woodland ecological communities comprising RE 11.4.8, RE 11.4.9 and RE 11.5.3 and provides habitat opportunities for invertebrate and vertebrate species </t>
  </si>
  <si>
    <t xml:space="preserve">a). All services disconnected. Underground services will remain buried and surface points will be sealed
b). All buildings either demolished and removed or relocated off site 
c). Concrete slabs and footings removed or buried within overburden dump final rehabilitation areas
d). Sumps or damps that do not form part of final landform as sediment control structures will be dewatered and where applicable contaminated silt will be removed for licensed disposal                                                                                                                                                                                                                                                      e). Sealed asphalt roads, car parks and hardstand areas will have the asphalt removed for reuse or burial within overburden dump final rehabilitation areas and unsealed road, car parks and hardstands will have any contamination removed for licenced disposal                                                                                                                                                                                                                                                                                                                                                                               f). Hydrocarbon and chemical storage areas will be removed and/or remediated by on-site treatment if required                                                                                                                                                                                                                                                                                  g). All carbonaceous material will be collected from haul roads and disposed in the co-disposal area or buried within the overburden dump final rehabilitation areas                                                                                                                                                                                                                                                                                                        h). The contaminated land assessment report prepared by an AQP confirms that the land is not contaminated and is suitable for any use                                                                                                                                                                                                                                                                                               
</t>
  </si>
  <si>
    <t>Landform design, reshaping and final contouring, inclusive of drainage features</t>
  </si>
  <si>
    <t xml:space="preserve">a). Stable landform and slope angles for out of pit overburden dumps areas as follows: outer batter slopes equal to or less than 5.7°and crest slope a maximum of 2.3°
b) Stable landform and slope angles for Co-disposal elevated landform and ROM pads as follows: outer batter slopes equal to or less than 8° and crest slope a maximum of 2.3°
c.)  Stable landform and slope angles for coal stockpiles and in pit overburden backfill flat to undulating with slopes equal to or less than 4.6° crest slope a maximum of 2.3°
d). Stable landform and slope angles for infrastructure areas flat to undulating with slopes equal or less than 2.3°
e). Maximum vertical height of out of pit overburden dumps elevated landforms up to 50m
f). Maximum vertical height of Co-disposal elevated landform and ROM pad areas up to 18m
g). All major earthworks completed
h). Contour drains and rock lined drop structures installed as per appropriate design criteria
i). Landforms such as the Co-disposal facility have been signed-off as constructed to design </t>
  </si>
  <si>
    <t>a). Topsoil spread to an minimum depth of 150mm
b). Gypsum applied at rates determined by an AQP
c). Cultivation and keying of topsoil to subsoil with suitable multi-type ripper and performed parallel to slope contours
d). Addition of rock and/or log cover to assist erosion resistance of eventual vegetative ground cover</t>
  </si>
  <si>
    <t>a). Pasture seed applied in accordance with rehabilitation specification, i.e. seeding rate, seed composition and cultivation to incorporate seed into the uppermost layer of the growth media
b). Seed mix contains a range of native and introduced grass and legume species consistent with surrounding pastural areas (as per seed mix table in PRC plan)</t>
  </si>
  <si>
    <t>Revegetation &amp; habitat development (native bushland)</t>
  </si>
  <si>
    <t>a). Native seed applied in accordance with rehabilitation specification
b). Seed mix contains a suitable range of native tree, shrub and grass species to achieve brigalow and eucalyptus woodland habitat type (as per seed mix table in PRC plan)</t>
  </si>
  <si>
    <t>a). Species density and diversity achieved is consistent with the sown seed mix, reference sites and surrounding pastural areas
b). 80% of the area has a vegetative groundcover &gt;70% for areas of low rock and logs, &gt;50% for areas of high rock and log content
c). Growth medium (surface 30cm) pH &gt;5.5 and &lt;9.5; Conductivity &lt;1.0dS/m and ESP&lt;15%
d). No new invasive plants and infestation density of invasive plants that were originally present or in low abundance within the area is contained or reduced and consistent with reference sites and surrounding pastoral areas 
e). Water control structures are either removed or free of active erosion and integrated into permanent landforms
f). No severe erosion gullies and erosion rates are less than 40tonnes/ha/year
g). pH and EC indicators for surface water runoff demonstrate the water quality is suitable for the receiving environment and are consistent with water quality indicators of the upstream reference site
h). The NEPM assessment confirms areas are free of hazardous materials or have been rendered safe</t>
  </si>
  <si>
    <t>a). 80% of the area achieves species density and diversity that is greater than 60% of the reference sites and surrounding areas
b). 80% of the area has a vegetative groundcover &gt;70% for areas of low rock and logs, &gt;50% for areas of high rock and log content
c). Growth medium (surface 20cm) pH &gt;5.5 and &lt;9.5; Conductivity &lt;1.0dS/m and ESP&lt;15%
d). No new invasive plants and infestation density of invasive plants that were originally present or in low abundance in the area is contained or reduced 
e). Key invertebrate groups such as ants and soil faunal communities are re-establishing
f). Bird, mammal, reptile and frog communities are becoming established in the rehabilitated sites
g). Evidence of food and shelter opportunities for invertebrate and vertebrate species
h). Water control structures are either removed or free of active erosion and integrated into permanent landforms
i). No severe erosion gullies (&lt;4m² in cross section) and erosion rates are less than 40tonnes/ha/year 
j). pH and EC indicators for surface water runoff demonstrate the water quality is suitable for the receiving environment and are consistent with water quality indicators of the upstream reference site
k). The NEPM assessment confirms areas are free of hazardous materials or have been rendered safe</t>
  </si>
  <si>
    <t>Achievement of landform design and surface requirements / access controls</t>
  </si>
  <si>
    <t>a). Highwall as mined weathered average slope angle of 1V and 0.7H (55°) and low wall as backfilled at angle of repose at 1V to 1.35H (36°)
b). Abandonment safety bund setback distance is in accordance with calculated geotechnical factor of safety
c). Abandonment safety bund constructed of competent rock and to geometry specified to prevent traversing by vehicles
d). Residual void maximum depth of 150m
e). Residual void outside of PMF
f). Abandonment safety bund and ramp into voids revegetated with pasture seed</t>
  </si>
  <si>
    <t>a). Access to highwall, low wall and ramp batter is restricted by physical barriers and fencing is erected on the outside of the abandonment safety bund to specification (nominally five strand barbed stock fencing)
b). Safety signage (design in accordance with Australian Standard) is erected at specified intervals along the fence line (nominally one sign every 100m)
c). Certification from an AQP that the level of final void water is significantly below the crest of the pit to avoid the risk of overtopping and causing environmental harm 
d). Certification from an AQP that the water quality (pH &amp; EC) in the final void does not show a statistically significant change when compared to background data and will not cause environmental harm to the surrounding environment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</si>
</sst>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 #,##0.00_-;_-* &quot;-&quot;??_-;_-@_-"/>
    <numFmt numFmtId="164" formatCode="d/mm/yy;@"/>
    <numFmt numFmtId="165" formatCode="0.0"/>
    <numFmt numFmtId="166" formatCode="d/mm/yyyy;@"/>
    <numFmt numFmtId="167" formatCode="_-* #,##0.0_-;\-* #,##0.0_-;_-* &quot;-&quot;??_-;_-@_-"/>
  </numFmts>
  <fonts count="10"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b/>
      <sz val="11"/>
      <color rgb="FF000000"/>
      <name val="Calibri"/>
      <family val="2"/>
    </font>
    <font>
      <sz val="11"/>
      <color rgb="FF000000"/>
      <name val="Calibri"/>
      <family val="2"/>
    </font>
    <font>
      <sz val="11"/>
      <color theme="4" tint="0.79998168889431442"/>
      <name val="Calibri"/>
      <family val="2"/>
    </font>
    <font>
      <sz val="11"/>
      <color theme="4" tint="0.79998168889431442"/>
      <name val="Calibri"/>
      <family val="2"/>
      <scheme val="minor"/>
    </font>
    <font>
      <sz val="11"/>
      <name val="Calibri"/>
      <family val="2"/>
      <scheme val="minor"/>
    </font>
    <font>
      <b/>
      <sz val="11"/>
      <name val="Calibri"/>
      <family val="2"/>
      <scheme val="minor"/>
    </font>
  </fonts>
  <fills count="13">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D9D9D9"/>
        <bgColor rgb="FF000000"/>
      </patternFill>
    </fill>
    <fill>
      <patternFill patternType="solid">
        <fgColor rgb="FFDDEBF7"/>
        <bgColor rgb="FF000000"/>
      </patternFill>
    </fill>
    <fill>
      <patternFill patternType="solid">
        <fgColor rgb="FFFFFF00"/>
        <bgColor indexed="64"/>
      </patternFill>
    </fill>
    <fill>
      <patternFill patternType="solid">
        <fgColor rgb="FFFFFFCC"/>
        <bgColor indexed="64"/>
      </patternFill>
    </fill>
  </fills>
  <borders count="19">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style="medium">
        <color auto="1"/>
      </left>
      <right style="medium">
        <color auto="1"/>
      </right>
      <top/>
      <bottom/>
      <diagonal/>
    </border>
    <border>
      <left/>
      <right style="medium">
        <color auto="1"/>
      </right>
      <top style="medium">
        <color auto="1"/>
      </top>
      <bottom style="thick">
        <color theme="8"/>
      </bottom>
      <diagonal/>
    </border>
    <border>
      <left style="medium">
        <color auto="1"/>
      </left>
      <right style="medium">
        <color auto="1"/>
      </right>
      <top style="medium">
        <color auto="1"/>
      </top>
      <bottom style="thick">
        <color theme="8"/>
      </bottom>
      <diagonal/>
    </border>
    <border>
      <left style="medium">
        <color auto="1"/>
      </left>
      <right/>
      <top style="medium">
        <color auto="1"/>
      </top>
      <bottom style="thick">
        <color theme="8"/>
      </bottom>
      <diagonal/>
    </border>
  </borders>
  <cellStyleXfs count="1">
    <xf numFmtId="0" fontId="0" fillId="0" borderId="0"/>
  </cellStyleXfs>
  <cellXfs count="137">
    <xf numFmtId="0" fontId="0" fillId="0" borderId="0" xfId="0"/>
    <xf numFmtId="0" fontId="1" fillId="5" borderId="1" xfId="0" applyFont="1" applyFill="1" applyBorder="1" applyAlignment="1">
      <alignment wrapText="1"/>
    </xf>
    <xf numFmtId="0" fontId="1" fillId="0" borderId="0" xfId="0" applyFont="1"/>
    <xf numFmtId="0" fontId="1" fillId="3" borderId="4" xfId="0" applyFont="1" applyFill="1" applyBorder="1" applyAlignment="1">
      <alignment wrapText="1"/>
    </xf>
    <xf numFmtId="0" fontId="1" fillId="5" borderId="4" xfId="0" applyFont="1" applyFill="1" applyBorder="1"/>
    <xf numFmtId="0" fontId="1" fillId="5" borderId="6" xfId="0" applyFont="1" applyFill="1" applyBorder="1"/>
    <xf numFmtId="0" fontId="1" fillId="4" borderId="7" xfId="0" applyFont="1" applyFill="1" applyBorder="1"/>
    <xf numFmtId="0" fontId="1" fillId="4" borderId="8" xfId="0" applyFont="1" applyFill="1" applyBorder="1"/>
    <xf numFmtId="0" fontId="1" fillId="4" borderId="9" xfId="0" applyFont="1" applyFill="1" applyBorder="1"/>
    <xf numFmtId="0" fontId="0" fillId="0" borderId="2" xfId="0" applyBorder="1" applyAlignment="1">
      <alignment horizontal="left" vertical="center"/>
    </xf>
    <xf numFmtId="0" fontId="0" fillId="0" borderId="5" xfId="0" applyBorder="1" applyAlignment="1">
      <alignment horizontal="left" vertical="center"/>
    </xf>
    <xf numFmtId="164" fontId="0" fillId="7" borderId="1" xfId="0" applyNumberFormat="1" applyFill="1" applyBorder="1" applyAlignment="1">
      <alignment horizontal="center" vertical="center"/>
    </xf>
    <xf numFmtId="164" fontId="0" fillId="7" borderId="10" xfId="0" applyNumberFormat="1" applyFill="1" applyBorder="1" applyAlignment="1">
      <alignment horizontal="center" vertical="center"/>
    </xf>
    <xf numFmtId="0" fontId="0" fillId="8" borderId="1" xfId="0" applyFill="1" applyBorder="1" applyAlignment="1">
      <alignment horizontal="center" vertical="center"/>
    </xf>
    <xf numFmtId="0" fontId="0" fillId="8" borderId="2" xfId="0" applyFill="1" applyBorder="1" applyAlignment="1">
      <alignment horizontal="center" vertical="center"/>
    </xf>
    <xf numFmtId="0" fontId="0" fillId="8" borderId="10" xfId="0" applyFill="1" applyBorder="1" applyAlignment="1">
      <alignment horizontal="center" vertical="center"/>
    </xf>
    <xf numFmtId="0" fontId="0" fillId="8" borderId="5" xfId="0" applyFill="1" applyBorder="1" applyAlignment="1">
      <alignment horizontal="center" vertical="center"/>
    </xf>
    <xf numFmtId="0" fontId="0" fillId="8" borderId="8" xfId="0" applyFill="1" applyBorder="1" applyAlignment="1">
      <alignment horizontal="center" vertical="center"/>
    </xf>
    <xf numFmtId="1" fontId="0" fillId="7" borderId="13" xfId="0" applyNumberFormat="1" applyFill="1" applyBorder="1" applyAlignment="1">
      <alignment horizontal="center" vertical="center"/>
    </xf>
    <xf numFmtId="1" fontId="0" fillId="7" borderId="15" xfId="0" applyNumberFormat="1" applyFill="1" applyBorder="1" applyAlignment="1">
      <alignment horizontal="center" vertical="center"/>
    </xf>
    <xf numFmtId="0" fontId="0" fillId="2" borderId="1" xfId="0" applyFill="1" applyBorder="1" applyAlignment="1">
      <alignment horizontal="left" vertical="center" wrapText="1"/>
    </xf>
    <xf numFmtId="0" fontId="0" fillId="2" borderId="10" xfId="0" applyFill="1" applyBorder="1" applyAlignment="1">
      <alignment horizontal="left" vertical="center" wrapText="1"/>
    </xf>
    <xf numFmtId="49" fontId="0" fillId="0" borderId="2" xfId="0" applyNumberFormat="1" applyBorder="1" applyAlignment="1">
      <alignment horizontal="left" vertical="center"/>
    </xf>
    <xf numFmtId="0" fontId="4" fillId="9" borderId="1" xfId="0" applyFont="1" applyFill="1" applyBorder="1" applyAlignment="1">
      <alignment wrapText="1"/>
    </xf>
    <xf numFmtId="0" fontId="5" fillId="10" borderId="1" xfId="0" applyFont="1" applyFill="1" applyBorder="1" applyAlignment="1">
      <alignment wrapText="1"/>
    </xf>
    <xf numFmtId="0" fontId="5" fillId="10" borderId="7" xfId="0" applyFont="1" applyFill="1" applyBorder="1" applyAlignment="1">
      <alignment wrapText="1"/>
    </xf>
    <xf numFmtId="0" fontId="5" fillId="10" borderId="8" xfId="0" applyFont="1" applyFill="1" applyBorder="1" applyAlignment="1">
      <alignment wrapText="1"/>
    </xf>
    <xf numFmtId="1" fontId="5" fillId="10" borderId="1" xfId="0" applyNumberFormat="1" applyFont="1" applyFill="1" applyBorder="1" applyAlignment="1">
      <alignment wrapText="1"/>
    </xf>
    <xf numFmtId="1" fontId="5" fillId="10" borderId="7" xfId="0" applyNumberFormat="1" applyFont="1" applyFill="1" applyBorder="1" applyAlignment="1">
      <alignment wrapText="1"/>
    </xf>
    <xf numFmtId="1" fontId="5" fillId="10" borderId="8" xfId="0" applyNumberFormat="1" applyFont="1" applyFill="1" applyBorder="1" applyAlignment="1">
      <alignment wrapText="1"/>
    </xf>
    <xf numFmtId="1" fontId="0" fillId="8" borderId="1" xfId="0" applyNumberFormat="1" applyFill="1" applyBorder="1" applyAlignment="1">
      <alignment horizontal="center" vertical="center"/>
    </xf>
    <xf numFmtId="1" fontId="0" fillId="8" borderId="2" xfId="0" applyNumberFormat="1" applyFill="1" applyBorder="1" applyAlignment="1">
      <alignment horizontal="center" vertical="center"/>
    </xf>
    <xf numFmtId="1" fontId="0" fillId="8" borderId="10" xfId="0" applyNumberFormat="1" applyFill="1" applyBorder="1" applyAlignment="1">
      <alignment horizontal="center" vertical="center"/>
    </xf>
    <xf numFmtId="1" fontId="0" fillId="8" borderId="5" xfId="0" applyNumberFormat="1" applyFill="1" applyBorder="1" applyAlignment="1">
      <alignment horizontal="center" vertical="center"/>
    </xf>
    <xf numFmtId="165" fontId="0" fillId="7" borderId="13" xfId="0" applyNumberFormat="1" applyFill="1" applyBorder="1" applyAlignment="1">
      <alignment horizontal="center" vertical="center"/>
    </xf>
    <xf numFmtId="165" fontId="0" fillId="7" borderId="15" xfId="0" applyNumberFormat="1" applyFill="1" applyBorder="1" applyAlignment="1">
      <alignment horizontal="center" vertical="center"/>
    </xf>
    <xf numFmtId="165" fontId="0" fillId="8" borderId="1" xfId="0" applyNumberFormat="1" applyFill="1" applyBorder="1" applyAlignment="1">
      <alignment horizontal="center" vertical="center"/>
    </xf>
    <xf numFmtId="165" fontId="0" fillId="8" borderId="8" xfId="0" applyNumberFormat="1" applyFill="1" applyBorder="1" applyAlignment="1">
      <alignment horizontal="center" vertical="center"/>
    </xf>
    <xf numFmtId="165" fontId="0" fillId="8" borderId="10" xfId="0" applyNumberFormat="1" applyFill="1" applyBorder="1" applyAlignment="1">
      <alignment horizontal="center" vertical="center"/>
    </xf>
    <xf numFmtId="1" fontId="0" fillId="8" borderId="8" xfId="0" applyNumberFormat="1" applyFill="1" applyBorder="1" applyAlignment="1">
      <alignment horizontal="center" vertical="center"/>
    </xf>
    <xf numFmtId="165" fontId="5" fillId="10" borderId="1" xfId="0" applyNumberFormat="1" applyFont="1" applyFill="1" applyBorder="1" applyAlignment="1">
      <alignment wrapText="1"/>
    </xf>
    <xf numFmtId="165" fontId="5" fillId="8" borderId="8" xfId="0" applyNumberFormat="1" applyFont="1" applyFill="1" applyBorder="1" applyAlignment="1">
      <alignment horizontal="center" vertical="center"/>
    </xf>
    <xf numFmtId="165" fontId="5" fillId="10" borderId="7" xfId="0" applyNumberFormat="1" applyFont="1" applyFill="1" applyBorder="1" applyAlignment="1">
      <alignment wrapText="1"/>
    </xf>
    <xf numFmtId="165" fontId="5" fillId="8" borderId="1" xfId="0" applyNumberFormat="1" applyFont="1" applyFill="1" applyBorder="1" applyAlignment="1">
      <alignment horizontal="center" vertical="center"/>
    </xf>
    <xf numFmtId="14" fontId="0" fillId="11" borderId="0" xfId="0" applyNumberFormat="1" applyFill="1"/>
    <xf numFmtId="166" fontId="0" fillId="0" borderId="0" xfId="0" applyNumberFormat="1"/>
    <xf numFmtId="43" fontId="0" fillId="0" borderId="0" xfId="0" applyNumberFormat="1"/>
    <xf numFmtId="165" fontId="0" fillId="0" borderId="0" xfId="0" applyNumberFormat="1"/>
    <xf numFmtId="167" fontId="0" fillId="0" borderId="0" xfId="0" applyNumberFormat="1"/>
    <xf numFmtId="0" fontId="0" fillId="12" borderId="0" xfId="0" applyFill="1"/>
    <xf numFmtId="167" fontId="0" fillId="12" borderId="0" xfId="0" applyNumberFormat="1" applyFill="1"/>
    <xf numFmtId="0" fontId="1" fillId="3" borderId="13" xfId="0" applyFont="1" applyFill="1" applyBorder="1" applyAlignment="1">
      <alignment wrapText="1"/>
    </xf>
    <xf numFmtId="164" fontId="0" fillId="7" borderId="15" xfId="0" applyNumberFormat="1" applyFill="1" applyBorder="1" applyAlignment="1">
      <alignment horizontal="center" vertical="center"/>
    </xf>
    <xf numFmtId="1" fontId="0" fillId="7" borderId="17" xfId="0" applyNumberFormat="1" applyFill="1" applyBorder="1" applyAlignment="1">
      <alignment horizontal="center" vertical="center"/>
    </xf>
    <xf numFmtId="1" fontId="0" fillId="7" borderId="16" xfId="0" applyNumberFormat="1" applyFill="1" applyBorder="1" applyAlignment="1">
      <alignment horizontal="center" vertical="center"/>
    </xf>
    <xf numFmtId="1" fontId="0" fillId="7" borderId="18" xfId="0" applyNumberFormat="1" applyFill="1" applyBorder="1" applyAlignment="1">
      <alignment horizontal="center" vertical="center"/>
    </xf>
    <xf numFmtId="165" fontId="0" fillId="7" borderId="17" xfId="0" applyNumberFormat="1" applyFill="1" applyBorder="1" applyAlignment="1">
      <alignment horizontal="center" vertical="center"/>
    </xf>
    <xf numFmtId="165" fontId="0" fillId="7" borderId="16" xfId="0" applyNumberFormat="1" applyFill="1" applyBorder="1" applyAlignment="1">
      <alignment horizontal="center" vertical="center"/>
    </xf>
    <xf numFmtId="0" fontId="4" fillId="9" borderId="0" xfId="0" applyFont="1" applyFill="1" applyAlignment="1">
      <alignment wrapText="1"/>
    </xf>
    <xf numFmtId="0" fontId="0" fillId="8" borderId="0" xfId="0" applyFill="1" applyAlignment="1">
      <alignment horizontal="center" vertical="center"/>
    </xf>
    <xf numFmtId="1" fontId="0" fillId="8" borderId="0" xfId="0" applyNumberFormat="1" applyFill="1" applyAlignment="1">
      <alignment horizontal="center" vertical="center"/>
    </xf>
    <xf numFmtId="0" fontId="4" fillId="0" borderId="0" xfId="0" applyFont="1" applyAlignment="1">
      <alignment wrapText="1"/>
    </xf>
    <xf numFmtId="0" fontId="0" fillId="0" borderId="0" xfId="0" applyAlignment="1">
      <alignment horizontal="center" vertical="center"/>
    </xf>
    <xf numFmtId="1" fontId="0" fillId="0" borderId="0" xfId="0" applyNumberFormat="1" applyAlignment="1">
      <alignment horizontal="center" vertical="center"/>
    </xf>
    <xf numFmtId="1" fontId="6" fillId="10" borderId="1" xfId="0" applyNumberFormat="1" applyFont="1" applyFill="1" applyBorder="1" applyAlignment="1">
      <alignment wrapText="1"/>
    </xf>
    <xf numFmtId="0" fontId="6" fillId="10" borderId="1" xfId="0" applyFont="1" applyFill="1" applyBorder="1" applyAlignment="1">
      <alignment wrapText="1"/>
    </xf>
    <xf numFmtId="1" fontId="7" fillId="8" borderId="1" xfId="0" applyNumberFormat="1" applyFont="1" applyFill="1" applyBorder="1" applyAlignment="1">
      <alignment horizontal="center" vertical="center"/>
    </xf>
    <xf numFmtId="0" fontId="7" fillId="8" borderId="1" xfId="0" applyFont="1" applyFill="1" applyBorder="1" applyAlignment="1">
      <alignment horizontal="center" vertical="center"/>
    </xf>
    <xf numFmtId="1" fontId="7" fillId="8" borderId="8" xfId="0" applyNumberFormat="1" applyFont="1" applyFill="1" applyBorder="1" applyAlignment="1">
      <alignment horizontal="center" vertical="center"/>
    </xf>
    <xf numFmtId="165" fontId="6" fillId="8" borderId="8" xfId="0" applyNumberFormat="1" applyFont="1" applyFill="1" applyBorder="1" applyAlignment="1">
      <alignment horizontal="center" vertical="center"/>
    </xf>
    <xf numFmtId="165" fontId="6" fillId="10" borderId="1" xfId="0" applyNumberFormat="1" applyFont="1" applyFill="1" applyBorder="1" applyAlignment="1">
      <alignment wrapText="1"/>
    </xf>
    <xf numFmtId="165" fontId="6" fillId="10" borderId="7" xfId="0" applyNumberFormat="1" applyFont="1" applyFill="1" applyBorder="1" applyAlignment="1">
      <alignment wrapText="1"/>
    </xf>
    <xf numFmtId="0" fontId="7" fillId="8" borderId="10" xfId="0" applyFont="1" applyFill="1" applyBorder="1" applyAlignment="1">
      <alignment horizontal="center" vertical="center"/>
    </xf>
    <xf numFmtId="1" fontId="7" fillId="8" borderId="10" xfId="0" applyNumberFormat="1" applyFont="1" applyFill="1" applyBorder="1" applyAlignment="1">
      <alignment horizontal="center" vertical="center"/>
    </xf>
    <xf numFmtId="0" fontId="1" fillId="3" borderId="1" xfId="0" applyFont="1" applyFill="1" applyBorder="1" applyAlignment="1">
      <alignment wrapText="1"/>
    </xf>
    <xf numFmtId="1"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 fontId="0" fillId="7" borderId="4" xfId="0" applyNumberFormat="1" applyFill="1" applyBorder="1" applyAlignment="1">
      <alignment horizontal="center" vertical="center"/>
    </xf>
    <xf numFmtId="1" fontId="0" fillId="7" borderId="2" xfId="0" applyNumberFormat="1" applyFill="1" applyBorder="1" applyAlignment="1">
      <alignment horizontal="center" vertical="center"/>
    </xf>
    <xf numFmtId="2" fontId="0" fillId="7" borderId="4" xfId="0" applyNumberFormat="1" applyFill="1" applyBorder="1" applyAlignment="1">
      <alignment horizontal="center" vertical="center"/>
    </xf>
    <xf numFmtId="2" fontId="5" fillId="10" borderId="1" xfId="0" applyNumberFormat="1" applyFont="1" applyFill="1" applyBorder="1" applyAlignment="1">
      <alignment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6" borderId="9" xfId="0" applyFont="1" applyFill="1" applyBorder="1" applyAlignment="1">
      <alignment horizontal="left"/>
    </xf>
    <xf numFmtId="0" fontId="1" fillId="6" borderId="14" xfId="0" applyFont="1" applyFill="1" applyBorder="1" applyAlignment="1">
      <alignment horizontal="left"/>
    </xf>
    <xf numFmtId="0" fontId="1" fillId="6" borderId="7" xfId="0" applyFont="1" applyFill="1" applyBorder="1" applyAlignment="1">
      <alignment horizontal="left"/>
    </xf>
    <xf numFmtId="0" fontId="1" fillId="6" borderId="5" xfId="0" applyFont="1" applyFill="1" applyBorder="1" applyAlignment="1">
      <alignment horizontal="left"/>
    </xf>
    <xf numFmtId="0" fontId="1" fillId="6" borderId="11" xfId="0" applyFont="1" applyFill="1" applyBorder="1" applyAlignment="1">
      <alignment horizontal="left"/>
    </xf>
    <xf numFmtId="0" fontId="1" fillId="6" borderId="6" xfId="0" applyFont="1" applyFill="1" applyBorder="1" applyAlignment="1">
      <alignment horizontal="left"/>
    </xf>
    <xf numFmtId="0" fontId="1" fillId="6" borderId="12" xfId="0" applyFont="1" applyFill="1" applyBorder="1" applyAlignment="1">
      <alignment horizontal="left"/>
    </xf>
    <xf numFmtId="0" fontId="1" fillId="6" borderId="0" xfId="0" applyFont="1" applyFill="1" applyAlignment="1">
      <alignment horizontal="left"/>
    </xf>
    <xf numFmtId="0" fontId="1" fillId="6" borderId="13" xfId="0" applyFont="1" applyFill="1" applyBorder="1" applyAlignment="1">
      <alignment horizontal="left"/>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0" fillId="2" borderId="1" xfId="0" applyFill="1" applyBorder="1" applyAlignment="1">
      <alignment horizontal="center"/>
    </xf>
    <xf numFmtId="1" fontId="0" fillId="2" borderId="1" xfId="0" applyNumberFormat="1" applyFill="1" applyBorder="1" applyAlignment="1">
      <alignment horizontal="center"/>
    </xf>
    <xf numFmtId="164" fontId="0" fillId="2" borderId="1" xfId="0" applyNumberFormat="1" applyFill="1" applyBorder="1" applyAlignment="1">
      <alignment horizontal="center"/>
    </xf>
    <xf numFmtId="0" fontId="1" fillId="5" borderId="1" xfId="0" applyFont="1" applyFill="1" applyBorder="1" applyAlignment="1">
      <alignment horizontal="left" vertical="center" wrapText="1"/>
    </xf>
    <xf numFmtId="0" fontId="1" fillId="5" borderId="1" xfId="0" applyFont="1" applyFill="1" applyBorder="1" applyAlignment="1">
      <alignment horizontal="left" vertical="center"/>
    </xf>
    <xf numFmtId="165" fontId="0" fillId="2" borderId="1" xfId="0" applyNumberFormat="1" applyFill="1" applyBorder="1" applyAlignment="1">
      <alignment horizontal="center"/>
    </xf>
    <xf numFmtId="0" fontId="8" fillId="2" borderId="1" xfId="0" applyFont="1" applyFill="1" applyBorder="1" applyAlignment="1">
      <alignment horizontal="left" vertical="center" wrapText="1"/>
    </xf>
    <xf numFmtId="49" fontId="8" fillId="0" borderId="2" xfId="0" applyNumberFormat="1" applyFont="1" applyBorder="1" applyAlignment="1">
      <alignment horizontal="left" vertical="center" wrapText="1"/>
    </xf>
    <xf numFmtId="0" fontId="8" fillId="2" borderId="10" xfId="0" applyFont="1" applyFill="1" applyBorder="1" applyAlignment="1">
      <alignment horizontal="left" vertical="center" wrapText="1"/>
    </xf>
    <xf numFmtId="49" fontId="8" fillId="0" borderId="5" xfId="0" applyNumberFormat="1" applyFont="1" applyBorder="1" applyAlignment="1">
      <alignment horizontal="left" vertical="center" wrapText="1"/>
    </xf>
    <xf numFmtId="49" fontId="8" fillId="0" borderId="2" xfId="0" applyNumberFormat="1" applyFont="1" applyBorder="1" applyAlignment="1">
      <alignment horizontal="left" vertical="center"/>
    </xf>
    <xf numFmtId="0" fontId="9" fillId="4" borderId="8" xfId="0" applyFont="1" applyFill="1" applyBorder="1"/>
    <xf numFmtId="0" fontId="9" fillId="4" borderId="9" xfId="0" applyFont="1" applyFill="1" applyBorder="1"/>
    <xf numFmtId="0" fontId="8" fillId="0" borderId="2" xfId="0" applyFont="1" applyBorder="1" applyAlignment="1">
      <alignment horizontal="left" vertical="center"/>
    </xf>
    <xf numFmtId="0" fontId="8" fillId="0" borderId="2" xfId="0" applyFont="1" applyBorder="1" applyAlignment="1">
      <alignment horizontal="left" vertical="center" wrapText="1"/>
    </xf>
    <xf numFmtId="0" fontId="9" fillId="5" borderId="1" xfId="0" applyFont="1" applyFill="1" applyBorder="1" applyAlignment="1">
      <alignment horizontal="left" vertical="center"/>
    </xf>
    <xf numFmtId="0" fontId="8" fillId="2" borderId="1" xfId="0" applyFont="1" applyFill="1" applyBorder="1" applyAlignment="1">
      <alignment horizontal="center"/>
    </xf>
    <xf numFmtId="1" fontId="8" fillId="2" borderId="1" xfId="0" applyNumberFormat="1" applyFont="1" applyFill="1" applyBorder="1" applyAlignment="1">
      <alignment horizontal="center"/>
    </xf>
    <xf numFmtId="0" fontId="9" fillId="5" borderId="1" xfId="0" applyFont="1" applyFill="1" applyBorder="1" applyAlignment="1">
      <alignment horizontal="left" vertical="center" wrapText="1"/>
    </xf>
    <xf numFmtId="164" fontId="8" fillId="2" borderId="1" xfId="0" applyNumberFormat="1" applyFont="1" applyFill="1" applyBorder="1" applyAlignment="1">
      <alignment horizontal="center"/>
    </xf>
    <xf numFmtId="0" fontId="9" fillId="3" borderId="4" xfId="0" applyFont="1" applyFill="1" applyBorder="1" applyAlignment="1">
      <alignment wrapText="1"/>
    </xf>
    <xf numFmtId="164" fontId="8" fillId="7" borderId="1" xfId="0" applyNumberFormat="1" applyFont="1" applyFill="1" applyBorder="1" applyAlignment="1">
      <alignment horizontal="center" vertical="center"/>
    </xf>
    <xf numFmtId="0" fontId="9" fillId="3" borderId="1" xfId="0" applyFont="1" applyFill="1" applyBorder="1" applyAlignment="1">
      <alignment wrapText="1"/>
    </xf>
    <xf numFmtId="1" fontId="8" fillId="7" borderId="1" xfId="0" applyNumberFormat="1" applyFont="1" applyFill="1" applyBorder="1" applyAlignment="1">
      <alignment horizontal="center" vertical="center"/>
    </xf>
    <xf numFmtId="0" fontId="9" fillId="3" borderId="13" xfId="0" applyFont="1" applyFill="1" applyBorder="1" applyAlignment="1">
      <alignment wrapText="1"/>
    </xf>
    <xf numFmtId="164" fontId="8" fillId="7" borderId="15" xfId="0" applyNumberFormat="1" applyFont="1" applyFill="1" applyBorder="1" applyAlignment="1">
      <alignment horizontal="center" vertical="center"/>
    </xf>
    <xf numFmtId="0" fontId="9" fillId="5" borderId="1" xfId="0" applyFont="1" applyFill="1" applyBorder="1" applyAlignment="1">
      <alignment wrapText="1"/>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xf>
    <xf numFmtId="0" fontId="9" fillId="3" borderId="4" xfId="0" applyFont="1" applyFill="1" applyBorder="1" applyAlignment="1">
      <alignment horizontal="center" vertical="center"/>
    </xf>
    <xf numFmtId="0" fontId="9" fillId="5" borderId="4" xfId="0" applyFont="1" applyFill="1" applyBorder="1" applyAlignment="1">
      <alignment wrapText="1"/>
    </xf>
    <xf numFmtId="1" fontId="8" fillId="8" borderId="8" xfId="0" applyNumberFormat="1" applyFont="1" applyFill="1" applyBorder="1" applyAlignment="1">
      <alignment horizontal="center" vertical="center"/>
    </xf>
    <xf numFmtId="0" fontId="9" fillId="8" borderId="1" xfId="0" applyFont="1" applyFill="1" applyBorder="1" applyAlignment="1">
      <alignment horizontal="center" vertical="center"/>
    </xf>
    <xf numFmtId="1" fontId="9" fillId="8" borderId="8" xfId="0" applyNumberFormat="1" applyFont="1" applyFill="1" applyBorder="1" applyAlignment="1">
      <alignment horizontal="center" vertical="center"/>
    </xf>
    <xf numFmtId="0" fontId="9" fillId="8" borderId="2" xfId="0" applyFont="1" applyFill="1" applyBorder="1" applyAlignment="1">
      <alignment horizontal="center" vertical="center"/>
    </xf>
    <xf numFmtId="0" fontId="9" fillId="5" borderId="4" xfId="0" applyFont="1" applyFill="1" applyBorder="1"/>
    <xf numFmtId="1" fontId="8" fillId="8" borderId="1" xfId="0" applyNumberFormat="1" applyFont="1" applyFill="1" applyBorder="1" applyAlignment="1">
      <alignment horizontal="center" vertical="center"/>
    </xf>
    <xf numFmtId="0" fontId="8" fillId="8" borderId="1" xfId="0" applyFont="1" applyFill="1" applyBorder="1" applyAlignment="1">
      <alignment horizontal="center" vertical="center"/>
    </xf>
    <xf numFmtId="0" fontId="9" fillId="5" borderId="6" xfId="0" applyFont="1" applyFill="1" applyBorder="1"/>
    <xf numFmtId="0" fontId="8" fillId="8" borderId="10" xfId="0" applyFont="1" applyFill="1" applyBorder="1" applyAlignment="1">
      <alignment horizontal="center" vertical="center"/>
    </xf>
    <xf numFmtId="1" fontId="8" fillId="8" borderId="10" xfId="0" applyNumberFormat="1" applyFont="1" applyFill="1" applyBorder="1" applyAlignment="1">
      <alignment horizontal="center" vertical="center"/>
    </xf>
  </cellXfs>
  <cellStyles count="1">
    <cellStyle name="Normal" xfId="0" builtinId="0"/>
  </cellStyles>
  <dxfs count="1634">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font>
        <strike val="0"/>
        <outline val="0"/>
        <shadow val="0"/>
        <u val="none"/>
        <vertAlign val="baseline"/>
        <sz val="11"/>
        <color auto="1"/>
        <name val="Calibri"/>
        <family val="2"/>
        <scheme val="minor"/>
      </font>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font>
        <strike val="0"/>
        <outline val="0"/>
        <shadow val="0"/>
        <u val="none"/>
        <vertAlign val="baseline"/>
        <sz val="11"/>
        <color auto="1"/>
        <name val="Calibri"/>
        <family val="2"/>
        <scheme val="minor"/>
      </font>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font>
        <strike val="0"/>
        <outline val="0"/>
        <shadow val="0"/>
        <u val="none"/>
        <vertAlign val="baseline"/>
        <sz val="11"/>
        <color auto="1"/>
        <name val="Calibri"/>
        <family val="2"/>
        <scheme val="minor"/>
      </font>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strike val="0"/>
        <outline val="0"/>
        <shadow val="0"/>
        <u val="none"/>
        <vertAlign val="baseline"/>
        <sz val="11"/>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dxf>
    <dxf>
      <font>
        <strike val="0"/>
        <outline val="0"/>
        <shadow val="0"/>
        <u val="none"/>
        <vertAlign val="baseline"/>
        <sz val="11"/>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font>
        <strike val="0"/>
        <outline val="0"/>
        <shadow val="0"/>
        <u val="none"/>
        <vertAlign val="baseline"/>
        <sz val="11"/>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font>
        <strike val="0"/>
        <outline val="0"/>
        <shadow val="0"/>
        <u val="none"/>
        <vertAlign val="baseline"/>
        <sz val="11"/>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font>
        <strike val="0"/>
        <outline val="0"/>
        <shadow val="0"/>
        <u val="none"/>
        <vertAlign val="baseline"/>
        <sz val="11"/>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font>
        <strike val="0"/>
        <outline val="0"/>
        <shadow val="0"/>
        <u val="none"/>
        <vertAlign val="baseline"/>
        <sz val="11"/>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font>
        <strike val="0"/>
        <outline val="0"/>
        <shadow val="0"/>
        <u val="none"/>
        <vertAlign val="baseline"/>
        <sz val="11"/>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font>
        <strike val="0"/>
        <outline val="0"/>
        <shadow val="0"/>
        <u val="none"/>
        <vertAlign val="baseline"/>
        <sz val="11"/>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font>
        <strike val="0"/>
        <outline val="0"/>
        <shadow val="0"/>
        <u val="none"/>
        <vertAlign val="baseline"/>
        <sz val="11"/>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font>
        <strike val="0"/>
        <outline val="0"/>
        <shadow val="0"/>
        <u val="none"/>
        <vertAlign val="baseline"/>
        <sz val="11"/>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font>
        <b/>
        <i val="0"/>
        <strike val="0"/>
        <condense val="0"/>
        <extend val="0"/>
        <outline val="0"/>
        <shadow val="0"/>
        <u val="none"/>
        <vertAlign val="baseline"/>
        <sz val="11"/>
        <color auto="1"/>
        <name val="Calibri"/>
        <family val="2"/>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center" textRotation="0" wrapText="1"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center" textRotation="0" wrapText="1"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border>
    </dxf>
    <dxf>
      <border diagonalUp="0" diagonalDown="0" outline="0">
        <left style="medium">
          <color auto="1"/>
        </left>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b val="0"/>
        <i val="0"/>
        <strike val="0"/>
        <condense val="0"/>
        <extend val="0"/>
        <outline val="0"/>
        <shadow val="0"/>
        <u val="none"/>
        <vertAlign val="baseline"/>
        <sz val="11"/>
        <color rgb="FF000000"/>
        <name val="Calibri"/>
        <family val="2"/>
        <scheme val="none"/>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vertical/>
        <horizontal/>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border outline="0">
        <right style="medium">
          <color auto="1"/>
        </right>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rgb="FF000000"/>
        <name val="Calibri"/>
        <scheme val="none"/>
      </font>
      <fill>
        <patternFill patternType="solid">
          <fgColor rgb="FF000000"/>
          <bgColor rgb="FFD9D9D9"/>
        </patternFill>
      </fill>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rgb="FF000000"/>
        <name val="Calibri"/>
        <scheme val="none"/>
      </font>
      <fill>
        <patternFill patternType="solid">
          <fgColor rgb="FF000000"/>
          <bgColor rgb="FFD9D9D9"/>
        </patternFill>
      </fill>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b val="0"/>
        <i val="0"/>
        <strike val="0"/>
        <condense val="0"/>
        <extend val="0"/>
        <outline val="0"/>
        <shadow val="0"/>
        <u val="none"/>
        <vertAlign val="baseline"/>
        <sz val="11"/>
        <color rgb="FF000000"/>
        <name val="Calibri"/>
        <family val="2"/>
        <scheme val="none"/>
      </font>
      <numFmt numFmtId="165" formatCode="0.0"/>
      <fill>
        <patternFill patternType="solid">
          <fgColor rgb="FF000000"/>
          <bgColor rgb="FFDDEBF7"/>
        </patternFill>
      </fill>
      <alignment horizontal="general" vertical="bottom" textRotation="0" wrapText="1" indent="0" justifyLastLine="0" shrinkToFit="0" readingOrder="0"/>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numFmt numFmtId="165" formatCode="0.0"/>
      <fill>
        <patternFill patternType="solid">
          <fgColor rgb="FF000000"/>
          <bgColor rgb="FFDDEBF7"/>
        </patternFill>
      </fill>
      <alignment horizontal="general" vertical="bottom" textRotation="0" wrapText="1" indent="0" justifyLastLine="0" shrinkToFit="0" readingOrder="0"/>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numFmt numFmtId="165" formatCode="0.0"/>
      <fill>
        <patternFill patternType="solid">
          <fgColor rgb="FF000000"/>
          <bgColor rgb="FFDDEBF7"/>
        </patternFill>
      </fill>
      <alignment horizontal="general" vertical="bottom" textRotation="0" wrapText="1" indent="0" justifyLastLine="0" shrinkToFit="0" readingOrder="0"/>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border>
    </dxf>
    <dxf>
      <numFmt numFmtId="165" formatCode="0.0"/>
      <border outline="0">
        <left style="medium">
          <color auto="1"/>
        </left>
      </border>
    </dxf>
    <dxf>
      <border diagonalUp="0" diagonalDown="0" outline="0">
        <left style="medium">
          <color auto="1"/>
        </left>
        <right style="medium">
          <color auto="1"/>
        </right>
        <top/>
        <bottom/>
      </border>
    </dxf>
    <dxf>
      <numFmt numFmtId="165" formatCode="0.0"/>
      <border outline="0">
        <left style="medium">
          <color auto="1"/>
        </left>
      </border>
    </dxf>
    <dxf>
      <border diagonalUp="0" diagonalDown="0" outline="0">
        <left style="medium">
          <color auto="1"/>
        </left>
        <right style="medium">
          <color auto="1"/>
        </right>
        <top/>
        <bottom/>
      </border>
    </dxf>
    <dxf>
      <numFmt numFmtId="165" formatCode="0.0"/>
      <border outline="0">
        <left style="medium">
          <color auto="1"/>
        </left>
      </border>
    </dxf>
    <dxf>
      <border diagonalUp="0" diagonalDown="0" outline="0">
        <left style="medium">
          <color auto="1"/>
        </left>
        <right style="medium">
          <color auto="1"/>
        </right>
        <top/>
        <bottom/>
      </border>
    </dxf>
    <dxf>
      <numFmt numFmtId="165" formatCode="0.0"/>
      <border outline="0">
        <left style="medium">
          <color auto="1"/>
        </left>
      </border>
    </dxf>
    <dxf>
      <border diagonalUp="0" diagonalDown="0" outline="0">
        <left style="medium">
          <color auto="1"/>
        </left>
        <right style="medium">
          <color auto="1"/>
        </right>
        <top/>
        <bottom/>
      </border>
    </dxf>
    <dxf>
      <numFmt numFmtId="165" formatCode="0.0"/>
    </dxf>
    <dxf>
      <border diagonalUp="0" diagonalDown="0" outline="0">
        <left style="medium">
          <color auto="1"/>
        </left>
        <right style="medium">
          <color auto="1"/>
        </right>
        <top/>
        <bottom/>
      </border>
    </dxf>
    <dxf>
      <numFmt numFmtId="1" formatCode="0"/>
    </dxf>
    <dxf>
      <border diagonalUp="0" diagonalDown="0" outline="0">
        <left style="medium">
          <color auto="1"/>
        </left>
        <right style="medium">
          <color auto="1"/>
        </right>
        <top/>
        <bottom/>
      </border>
    </dxf>
    <dxf>
      <numFmt numFmtId="1" formatCode="0"/>
    </dxf>
    <dxf>
      <border diagonalUp="0" diagonalDown="0" outline="0">
        <left style="medium">
          <color auto="1"/>
        </left>
        <right style="medium">
          <color auto="1"/>
        </right>
        <top/>
        <bottom/>
      </border>
    </dxf>
    <dxf>
      <numFmt numFmtId="1" formatCode="0"/>
    </dxf>
    <dxf>
      <border diagonalUp="0" diagonalDown="0" outline="0">
        <left style="medium">
          <color auto="1"/>
        </left>
        <right style="medium">
          <color auto="1"/>
        </right>
        <top/>
        <bottom/>
      </border>
    </dxf>
    <dxf>
      <numFmt numFmtId="1" formatCode="0"/>
    </dxf>
    <dxf>
      <border diagonalUp="0" diagonalDown="0" outline="0">
        <left style="medium">
          <color auto="1"/>
        </left>
        <right style="medium">
          <color auto="1"/>
        </right>
        <top/>
        <bottom/>
      </border>
    </dxf>
    <dxf>
      <numFmt numFmtId="1" formatCode="0"/>
    </dxf>
    <dxf>
      <border diagonalUp="0" diagonalDown="0" outline="0">
        <left style="medium">
          <color auto="1"/>
        </left>
        <right style="medium">
          <color auto="1"/>
        </right>
        <top/>
        <bottom/>
      </border>
    </dxf>
    <dxf>
      <numFmt numFmtId="1" formatCode="0"/>
    </dxf>
    <dxf>
      <border diagonalUp="0" diagonalDown="0" outline="0">
        <left style="medium">
          <color auto="1"/>
        </left>
        <right style="medium">
          <color auto="1"/>
        </right>
        <top/>
        <bottom/>
      </border>
    </dxf>
    <dxf>
      <numFmt numFmtId="1" formatCode="0"/>
    </dxf>
    <dxf>
      <border diagonalUp="0" diagonalDown="0" outline="0">
        <left style="medium">
          <color auto="1"/>
        </left>
        <right style="medium">
          <color auto="1"/>
        </right>
        <top/>
        <bottom/>
      </border>
    </dxf>
    <dxf>
      <numFmt numFmtId="1" formatCode="0"/>
    </dxf>
    <dxf>
      <border diagonalUp="0" diagonalDown="0" outline="0">
        <left style="medium">
          <color auto="1"/>
        </left>
        <right style="medium">
          <color auto="1"/>
        </right>
        <top/>
        <bottom/>
      </border>
    </dxf>
    <dxf>
      <numFmt numFmtId="1" formatCode="0"/>
    </dxf>
    <dxf>
      <border diagonalUp="0" diagonalDown="0" outline="0">
        <left style="medium">
          <color auto="1"/>
        </left>
        <right style="medium">
          <color auto="1"/>
        </right>
        <top/>
        <bottom/>
      </border>
    </dxf>
    <dxf>
      <numFmt numFmtId="1" formatCode="0"/>
    </dxf>
    <dxf>
      <border diagonalUp="0" diagonalDown="0" outline="0">
        <left style="medium">
          <color auto="1"/>
        </left>
        <right style="medium">
          <color auto="1"/>
        </right>
        <top/>
        <bottom/>
      </border>
    </dxf>
    <dxf>
      <numFmt numFmtId="1" formatCode="0"/>
    </dxf>
    <dxf>
      <border diagonalUp="0" diagonalDown="0" outline="0">
        <left style="medium">
          <color auto="1"/>
        </left>
        <right style="medium">
          <color auto="1"/>
        </right>
        <top/>
        <bottom/>
      </border>
    </dxf>
    <dxf>
      <numFmt numFmtId="1" formatCode="0"/>
    </dxf>
    <dxf>
      <border diagonalUp="0" diagonalDown="0" outline="0">
        <left style="medium">
          <color auto="1"/>
        </left>
        <right style="medium">
          <color auto="1"/>
        </right>
        <top/>
        <bottom/>
      </border>
    </dxf>
    <dxf>
      <numFmt numFmtId="1" formatCode="0"/>
    </dxf>
    <dxf>
      <border diagonalUp="0" diagonalDown="0" outline="0">
        <left style="medium">
          <color auto="1"/>
        </left>
        <right style="medium">
          <color auto="1"/>
        </right>
        <top/>
        <bottom/>
      </border>
    </dxf>
    <dxf>
      <numFmt numFmtId="1" formatCode="0"/>
    </dxf>
    <dxf>
      <border diagonalUp="0" diagonalDown="0" outline="0">
        <left style="medium">
          <color auto="1"/>
        </left>
        <right/>
        <top/>
        <bottom style="medium">
          <color auto="1"/>
        </bottom>
      </border>
    </dxf>
    <dxf>
      <numFmt numFmtId="1" formatCode="0"/>
    </dxf>
    <dxf>
      <border diagonalUp="0" diagonalDown="0" outline="0">
        <left style="medium">
          <color auto="1"/>
        </left>
        <right style="medium">
          <color auto="1"/>
        </right>
        <top/>
        <bottom style="medium">
          <color auto="1"/>
        </bottom>
      </border>
    </dxf>
    <dxf>
      <numFmt numFmtId="1" formatCode="0"/>
    </dxf>
    <dxf>
      <border diagonalUp="0" diagonalDown="0" outline="0">
        <left style="medium">
          <color auto="1"/>
        </left>
        <right style="medium">
          <color auto="1"/>
        </right>
        <top/>
        <bottom style="medium">
          <color auto="1"/>
        </bottom>
      </border>
    </dxf>
    <dxf>
      <numFmt numFmtId="1" formatCode="0"/>
    </dxf>
    <dxf>
      <border diagonalUp="0" diagonalDown="0" outline="0">
        <left style="medium">
          <color auto="1"/>
        </left>
        <right style="medium">
          <color auto="1"/>
        </right>
        <top/>
        <bottom style="medium">
          <color auto="1"/>
        </bottom>
      </border>
    </dxf>
    <dxf>
      <numFmt numFmtId="1" formatCode="0"/>
    </dxf>
    <dxf>
      <border diagonalUp="0" diagonalDown="0" outline="0">
        <left style="medium">
          <color auto="1"/>
        </left>
        <right style="medium">
          <color auto="1"/>
        </right>
        <top/>
        <bottom style="medium">
          <color auto="1"/>
        </bottom>
      </border>
    </dxf>
    <dxf>
      <numFmt numFmtId="1" formatCode="0"/>
    </dxf>
    <dxf>
      <border diagonalUp="0" diagonalDown="0" outline="0">
        <left style="medium">
          <color auto="1"/>
        </left>
        <right style="medium">
          <color auto="1"/>
        </right>
        <top/>
        <bottom style="medium">
          <color auto="1"/>
        </bottom>
      </border>
    </dxf>
    <dxf>
      <font>
        <color rgb="FF000000"/>
      </font>
      <numFmt numFmtId="165" formatCode="0.0"/>
      <fill>
        <patternFill patternType="solid">
          <fgColor rgb="FF000000"/>
          <bgColor rgb="FFDDEBF7"/>
        </patternFill>
      </fill>
      <alignment horizontal="general" vertical="bottom" textRotation="0" wrapText="1" indent="0" justifyLastLine="0" shrinkToFit="0" readingOrder="0"/>
      <border diagonalUp="0" diagonalDown="0">
        <left/>
        <right style="medium">
          <color auto="1"/>
        </right>
        <top/>
        <bottom style="medium">
          <color auto="1"/>
        </bottom>
        <vertical/>
        <horizontal/>
      </border>
    </dxf>
    <dxf>
      <border diagonalUp="0" diagonalDown="0" outline="0">
        <left style="medium">
          <color auto="1"/>
        </left>
        <right style="medium">
          <color auto="1"/>
        </right>
        <top/>
        <bottom style="medium">
          <color auto="1"/>
        </bottom>
      </border>
    </dxf>
    <dxf>
      <numFmt numFmtId="1" formatCode="0"/>
    </dxf>
    <dxf>
      <border diagonalUp="0" diagonalDown="0" outline="0">
        <left style="medium">
          <color auto="1"/>
        </left>
        <right style="medium">
          <color auto="1"/>
        </right>
        <top/>
        <bottom style="medium">
          <color auto="1"/>
        </bottom>
      </border>
    </dxf>
    <dxf>
      <numFmt numFmtId="1" formatCode="0"/>
    </dxf>
    <dxf>
      <border diagonalUp="0" diagonalDown="0" outline="0">
        <left style="medium">
          <color auto="1"/>
        </left>
        <right style="medium">
          <color auto="1"/>
        </right>
        <top/>
        <bottom style="medium">
          <color auto="1"/>
        </bottom>
      </border>
    </dxf>
    <dxf>
      <numFmt numFmtId="1" formatCode="0"/>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color rgb="FF000000"/>
      </font>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rgb="FF000000"/>
        <name val="Calibri"/>
        <scheme val="none"/>
      </font>
      <fill>
        <patternFill patternType="solid">
          <fgColor rgb="FF000000"/>
          <bgColor rgb="FFD9D9D9"/>
        </patternFill>
      </fill>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rgb="FF000000"/>
        <name val="Calibri"/>
        <scheme val="none"/>
      </font>
      <fill>
        <patternFill patternType="solid">
          <fgColor rgb="FF000000"/>
          <bgColor rgb="FFD9D9D9"/>
        </patternFill>
      </fill>
      <alignment horizontal="general" vertical="bottom" textRotation="0" wrapText="1"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border diagonalUp="0" diagonalDown="0" outline="0">
        <left style="medium">
          <color auto="1"/>
        </left>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numFmt numFmtId="164" formatCode="d/mm/yy;@"/>
      <border diagonalUp="0" diagonalDown="0" outline="0">
        <left style="medium">
          <color auto="1"/>
        </left>
        <right/>
        <top/>
        <bottom style="medium">
          <color auto="1"/>
        </bottom>
      </border>
    </dxf>
    <dxf>
      <numFmt numFmtId="164" formatCode="d/mm/yy;@"/>
      <border diagonalUp="0" diagonalDown="0" outline="0">
        <left style="medium">
          <color auto="1"/>
        </left>
        <right style="medium">
          <color auto="1"/>
        </right>
        <top/>
        <bottom style="medium">
          <color auto="1"/>
        </bottom>
      </border>
    </dxf>
    <dxf>
      <numFmt numFmtId="164" formatCode="d/mm/yy;@"/>
      <border diagonalUp="0" diagonalDown="0" outline="0">
        <left style="medium">
          <color auto="1"/>
        </left>
        <right style="medium">
          <color auto="1"/>
        </right>
        <top/>
        <bottom style="medium">
          <color auto="1"/>
        </bottom>
      </border>
    </dxf>
    <dxf>
      <numFmt numFmtId="164" formatCode="d/mm/yy;@"/>
      <border diagonalUp="0" diagonalDown="0" outline="0">
        <left style="medium">
          <color auto="1"/>
        </left>
        <right style="medium">
          <color auto="1"/>
        </right>
        <top/>
        <bottom style="medium">
          <color auto="1"/>
        </bottom>
      </border>
    </dxf>
    <dxf>
      <numFmt numFmtId="164" formatCode="d/mm/yy;@"/>
      <border diagonalUp="0" diagonalDown="0" outline="0">
        <left style="medium">
          <color auto="1"/>
        </left>
        <right style="medium">
          <color auto="1"/>
        </right>
        <top/>
        <bottom style="medium">
          <color auto="1"/>
        </bottom>
      </border>
    </dxf>
    <dxf>
      <numFmt numFmtId="164" formatCode="d/mm/yy;@"/>
      <border diagonalUp="0" diagonalDown="0" outline="0">
        <left style="medium">
          <color auto="1"/>
        </left>
        <right style="medium">
          <color auto="1"/>
        </right>
        <top/>
        <bottom style="medium">
          <color auto="1"/>
        </bottom>
      </border>
    </dxf>
    <dxf>
      <numFmt numFmtId="164" formatCode="d/mm/yy;@"/>
      <border diagonalUp="0" diagonalDown="0" outline="0">
        <left style="medium">
          <color auto="1"/>
        </left>
        <right style="medium">
          <color auto="1"/>
        </right>
        <top/>
        <bottom style="medium">
          <color auto="1"/>
        </bottom>
      </border>
    </dxf>
    <dxf>
      <numFmt numFmtId="164" formatCode="d/mm/yy;@"/>
      <border diagonalUp="0" diagonalDown="0" outline="0">
        <left style="medium">
          <color auto="1"/>
        </left>
        <right style="medium">
          <color auto="1"/>
        </right>
        <top/>
        <bottom style="medium">
          <color auto="1"/>
        </bottom>
      </border>
    </dxf>
    <dxf>
      <numFmt numFmtId="164" formatCode="d/mm/yy;@"/>
      <border diagonalUp="0" diagonalDown="0" outline="0">
        <left style="medium">
          <color auto="1"/>
        </left>
        <right style="medium">
          <color auto="1"/>
        </right>
        <top/>
        <bottom style="medium">
          <color auto="1"/>
        </bottom>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rgb="FF000000"/>
        <name val="Calibri"/>
        <scheme val="none"/>
      </font>
      <fill>
        <patternFill patternType="solid">
          <fgColor rgb="FF000000"/>
          <bgColor rgb="FFD9D9D9"/>
        </patternFill>
      </fill>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right style="medium">
          <color auto="1"/>
        </right>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right style="medium">
          <color auto="1"/>
        </right>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right style="medium">
          <color auto="1"/>
        </right>
        <top/>
        <bottom style="medium">
          <color auto="1"/>
        </bottom>
        <vertical/>
        <horizontal/>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right style="medium">
          <color auto="1"/>
        </right>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right style="medium">
          <color auto="1"/>
        </right>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right style="medium">
          <color auto="1"/>
        </right>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right style="medium">
          <color auto="1"/>
        </right>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right style="medium">
          <color auto="1"/>
        </right>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right style="medium">
          <color auto="1"/>
        </right>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right style="medium">
          <color auto="1"/>
        </right>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right style="medium">
          <color auto="1"/>
        </right>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right style="medium">
          <color auto="1"/>
        </right>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right style="medium">
          <color auto="1"/>
        </right>
        <top/>
        <bottom style="medium">
          <color auto="1"/>
        </bottom>
        <vertical/>
        <horizontal/>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right style="medium">
          <color auto="1"/>
        </right>
        <top/>
        <bottom style="medium">
          <color auto="1"/>
        </bottom>
        <vertical/>
        <horizontal/>
      </border>
    </dxf>
    <dxf>
      <border diagonalUp="0" diagonalDown="0" outline="0">
        <left style="medium">
          <color auto="1"/>
        </left>
        <right style="medium">
          <color auto="1"/>
        </right>
        <top/>
        <bottom/>
      </border>
    </dxf>
    <dxf>
      <border diagonalUp="0" diagonalDown="0" outline="0">
        <left style="medium">
          <color auto="1"/>
        </left>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border diagonalUp="0" diagonalDown="0" outline="0">
        <left style="medium">
          <color auto="1"/>
        </left>
        <right style="medium">
          <color auto="1"/>
        </right>
        <top/>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top/>
        <bottom style="medium">
          <color auto="1"/>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val="0"/>
        <i val="0"/>
        <strike val="0"/>
        <condense val="0"/>
        <extend val="0"/>
        <outline val="0"/>
        <shadow val="0"/>
        <u val="none"/>
        <vertAlign val="baseline"/>
        <sz val="11"/>
        <color rgb="FF000000"/>
        <name val="Calibri"/>
        <family val="2"/>
        <scheme val="none"/>
      </font>
      <numFmt numFmtId="1" formatCode="0"/>
      <fill>
        <patternFill patternType="solid">
          <fgColor rgb="FF000000"/>
          <bgColor rgb="FFDDEBF7"/>
        </patternFill>
      </fill>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1633"/>
      <tableStyleElement type="firstColumn" dxfId="1632"/>
    </tableStyle>
    <tableStyle name="Table Style 2" pivot="0" count="2" xr9:uid="{00000000-0011-0000-FFFF-FFFF01000000}">
      <tableStyleElement type="wholeTable" dxfId="1631"/>
      <tableStyleElement type="firstColumn" dxfId="1630"/>
    </tableStyle>
    <tableStyle name="Table Style 3" pivot="0" count="4" xr9:uid="{00000000-0011-0000-FFFF-FFFF02000000}">
      <tableStyleElement type="wholeTable" dxfId="1629"/>
      <tableStyleElement type="headerRow" dxfId="1628"/>
      <tableStyleElement type="firstColumn" dxfId="1627"/>
      <tableStyleElement type="secondColumnStripe" dxfId="1626"/>
    </tableStyle>
  </tableStyles>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Annual Status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0"/>
          <c:order val="0"/>
          <c:tx>
            <c:strRef>
              <c:f>Summary!$A$50</c:f>
              <c:strCache>
                <c:ptCount val="1"/>
                <c:pt idx="0">
                  <c:v>Disturbed</c:v>
                </c:pt>
              </c:strCache>
            </c:strRef>
          </c:tx>
          <c:spPr>
            <a:solidFill>
              <a:schemeClr val="accent1"/>
            </a:solidFill>
            <a:ln>
              <a:noFill/>
            </a:ln>
            <a:effectLst/>
          </c:spPr>
          <c:cat>
            <c:numRef>
              <c:f>Summary!$D$2:$BN$2</c:f>
              <c:numCache>
                <c:formatCode>General</c:formatCode>
                <c:ptCount val="63"/>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pt idx="30">
                  <c:v>2056</c:v>
                </c:pt>
                <c:pt idx="31">
                  <c:v>2057</c:v>
                </c:pt>
                <c:pt idx="32">
                  <c:v>2058</c:v>
                </c:pt>
                <c:pt idx="33">
                  <c:v>2059</c:v>
                </c:pt>
                <c:pt idx="34">
                  <c:v>2060</c:v>
                </c:pt>
                <c:pt idx="35">
                  <c:v>2061</c:v>
                </c:pt>
                <c:pt idx="36">
                  <c:v>2062</c:v>
                </c:pt>
                <c:pt idx="37">
                  <c:v>2063</c:v>
                </c:pt>
                <c:pt idx="38">
                  <c:v>2064</c:v>
                </c:pt>
                <c:pt idx="39">
                  <c:v>2065</c:v>
                </c:pt>
                <c:pt idx="40">
                  <c:v>2066</c:v>
                </c:pt>
                <c:pt idx="41">
                  <c:v>2067</c:v>
                </c:pt>
                <c:pt idx="42">
                  <c:v>2068</c:v>
                </c:pt>
                <c:pt idx="43">
                  <c:v>2069</c:v>
                </c:pt>
                <c:pt idx="44">
                  <c:v>2070</c:v>
                </c:pt>
                <c:pt idx="45">
                  <c:v>2071</c:v>
                </c:pt>
                <c:pt idx="46">
                  <c:v>2072</c:v>
                </c:pt>
                <c:pt idx="47">
                  <c:v>2073</c:v>
                </c:pt>
                <c:pt idx="48">
                  <c:v>2074</c:v>
                </c:pt>
                <c:pt idx="49">
                  <c:v>2075</c:v>
                </c:pt>
                <c:pt idx="50">
                  <c:v>2076</c:v>
                </c:pt>
                <c:pt idx="51">
                  <c:v>2077</c:v>
                </c:pt>
                <c:pt idx="52">
                  <c:v>2078</c:v>
                </c:pt>
                <c:pt idx="53">
                  <c:v>2079</c:v>
                </c:pt>
                <c:pt idx="54">
                  <c:v>2080</c:v>
                </c:pt>
                <c:pt idx="55">
                  <c:v>2081</c:v>
                </c:pt>
                <c:pt idx="56">
                  <c:v>2082</c:v>
                </c:pt>
                <c:pt idx="57">
                  <c:v>2083</c:v>
                </c:pt>
                <c:pt idx="58">
                  <c:v>2084</c:v>
                </c:pt>
                <c:pt idx="59">
                  <c:v>2085</c:v>
                </c:pt>
                <c:pt idx="60">
                  <c:v>2086</c:v>
                </c:pt>
                <c:pt idx="61">
                  <c:v>2087</c:v>
                </c:pt>
                <c:pt idx="62">
                  <c:v>2088</c:v>
                </c:pt>
              </c:numCache>
            </c:numRef>
          </c:cat>
          <c:val>
            <c:numRef>
              <c:f>Summary!$D$50:$BN$50</c:f>
              <c:numCache>
                <c:formatCode>0.0</c:formatCode>
                <c:ptCount val="63"/>
                <c:pt idx="0">
                  <c:v>0</c:v>
                </c:pt>
                <c:pt idx="1">
                  <c:v>729.56120186411579</c:v>
                </c:pt>
                <c:pt idx="2">
                  <c:v>903.65681792167447</c:v>
                </c:pt>
                <c:pt idx="3">
                  <c:v>967.03631796255422</c:v>
                </c:pt>
                <c:pt idx="4">
                  <c:v>1198.0823657100809</c:v>
                </c:pt>
                <c:pt idx="5">
                  <c:v>1379.2096226800752</c:v>
                </c:pt>
                <c:pt idx="6">
                  <c:v>1410.3011949145614</c:v>
                </c:pt>
                <c:pt idx="7">
                  <c:v>1423.9856198184941</c:v>
                </c:pt>
                <c:pt idx="8">
                  <c:v>1411.8215450903444</c:v>
                </c:pt>
                <c:pt idx="9">
                  <c:v>1390.2830887090183</c:v>
                </c:pt>
                <c:pt idx="10">
                  <c:v>1303.4595213800999</c:v>
                </c:pt>
                <c:pt idx="11">
                  <c:v>1136.5945894039737</c:v>
                </c:pt>
                <c:pt idx="12">
                  <c:v>1234.6948311667079</c:v>
                </c:pt>
                <c:pt idx="13">
                  <c:v>1403.3512644918651</c:v>
                </c:pt>
                <c:pt idx="14">
                  <c:v>1364.7444253127301</c:v>
                </c:pt>
                <c:pt idx="15">
                  <c:v>1337.4101892731587</c:v>
                </c:pt>
                <c:pt idx="16">
                  <c:v>1342.5850554329165</c:v>
                </c:pt>
                <c:pt idx="17">
                  <c:v>1357.3728968195574</c:v>
                </c:pt>
                <c:pt idx="18">
                  <c:v>1370.130441991661</c:v>
                </c:pt>
                <c:pt idx="19">
                  <c:v>1347.4880000000003</c:v>
                </c:pt>
                <c:pt idx="20">
                  <c:v>1312.8700000000003</c:v>
                </c:pt>
                <c:pt idx="21">
                  <c:v>1247.5800000000002</c:v>
                </c:pt>
                <c:pt idx="22">
                  <c:v>1212.3070000000002</c:v>
                </c:pt>
                <c:pt idx="23">
                  <c:v>1212.3070000000002</c:v>
                </c:pt>
                <c:pt idx="24">
                  <c:v>1212.3070000000002</c:v>
                </c:pt>
                <c:pt idx="25">
                  <c:v>1177.7690000000002</c:v>
                </c:pt>
                <c:pt idx="26">
                  <c:v>1177.7690000000002</c:v>
                </c:pt>
                <c:pt idx="27">
                  <c:v>1006.2090000000003</c:v>
                </c:pt>
                <c:pt idx="28">
                  <c:v>696.38800000000037</c:v>
                </c:pt>
                <c:pt idx="29">
                  <c:v>479.49500000000006</c:v>
                </c:pt>
                <c:pt idx="30">
                  <c:v>326.62700000000012</c:v>
                </c:pt>
                <c:pt idx="31">
                  <c:v>2.6999999999986812E-2</c:v>
                </c:pt>
                <c:pt idx="32">
                  <c:v>2.6999999999986812E-2</c:v>
                </c:pt>
                <c:pt idx="33">
                  <c:v>2.6999999999986812E-2</c:v>
                </c:pt>
                <c:pt idx="34">
                  <c:v>2.6999999999986812E-2</c:v>
                </c:pt>
                <c:pt idx="35">
                  <c:v>2.6999999999986812E-2</c:v>
                </c:pt>
                <c:pt idx="36">
                  <c:v>2.6999999999986812E-2</c:v>
                </c:pt>
                <c:pt idx="37">
                  <c:v>2.6999999999986812E-2</c:v>
                </c:pt>
                <c:pt idx="38">
                  <c:v>2.6999999999986812E-2</c:v>
                </c:pt>
                <c:pt idx="39">
                  <c:v>2.6999999999986812E-2</c:v>
                </c:pt>
                <c:pt idx="40">
                  <c:v>2.6999999999986812E-2</c:v>
                </c:pt>
                <c:pt idx="41">
                  <c:v>2.6999999999986812E-2</c:v>
                </c:pt>
                <c:pt idx="42">
                  <c:v>2.6999999999986812E-2</c:v>
                </c:pt>
                <c:pt idx="43">
                  <c:v>2.6999999999986812E-2</c:v>
                </c:pt>
                <c:pt idx="44">
                  <c:v>2.6999999999986812E-2</c:v>
                </c:pt>
                <c:pt idx="45">
                  <c:v>2.6999999999986812E-2</c:v>
                </c:pt>
                <c:pt idx="46">
                  <c:v>2.6999999999986812E-2</c:v>
                </c:pt>
                <c:pt idx="47">
                  <c:v>2.6999999999986812E-2</c:v>
                </c:pt>
                <c:pt idx="48">
                  <c:v>2.6999999999986812E-2</c:v>
                </c:pt>
                <c:pt idx="49">
                  <c:v>2.6999999999986812E-2</c:v>
                </c:pt>
                <c:pt idx="50">
                  <c:v>2.6999999999986812E-2</c:v>
                </c:pt>
                <c:pt idx="51">
                  <c:v>2.6999999999986812E-2</c:v>
                </c:pt>
                <c:pt idx="52">
                  <c:v>2.6999999999986812E-2</c:v>
                </c:pt>
                <c:pt idx="53">
                  <c:v>2.6999999999986812E-2</c:v>
                </c:pt>
                <c:pt idx="54">
                  <c:v>2.6999999999986812E-2</c:v>
                </c:pt>
                <c:pt idx="55">
                  <c:v>2.6999999999986812E-2</c:v>
                </c:pt>
                <c:pt idx="56">
                  <c:v>2.6999999999986812E-2</c:v>
                </c:pt>
                <c:pt idx="57">
                  <c:v>2.6999999999986812E-2</c:v>
                </c:pt>
                <c:pt idx="58">
                  <c:v>2.6999999999986812E-2</c:v>
                </c:pt>
                <c:pt idx="59">
                  <c:v>2.6999999999986812E-2</c:v>
                </c:pt>
                <c:pt idx="60">
                  <c:v>2.6999999999986812E-2</c:v>
                </c:pt>
                <c:pt idx="61">
                  <c:v>2.6999999999986812E-2</c:v>
                </c:pt>
                <c:pt idx="62">
                  <c:v>2.6999999999986812E-2</c:v>
                </c:pt>
              </c:numCache>
            </c:numRef>
          </c:val>
          <c:extLst>
            <c:ext xmlns:c16="http://schemas.microsoft.com/office/drawing/2014/chart" uri="{C3380CC4-5D6E-409C-BE32-E72D297353CC}">
              <c16:uniqueId val="{00000000-BDB7-406C-9561-1D7B765CA671}"/>
            </c:ext>
          </c:extLst>
        </c:ser>
        <c:ser>
          <c:idx val="1"/>
          <c:order val="1"/>
          <c:tx>
            <c:strRef>
              <c:f>Summary!$A$52</c:f>
              <c:strCache>
                <c:ptCount val="1"/>
                <c:pt idx="0">
                  <c:v>Regraded</c:v>
                </c:pt>
              </c:strCache>
            </c:strRef>
          </c:tx>
          <c:spPr>
            <a:solidFill>
              <a:schemeClr val="accent2"/>
            </a:solidFill>
            <a:ln>
              <a:noFill/>
            </a:ln>
            <a:effectLst/>
          </c:spPr>
          <c:cat>
            <c:numRef>
              <c:f>Summary!$D$2:$BN$2</c:f>
              <c:numCache>
                <c:formatCode>General</c:formatCode>
                <c:ptCount val="63"/>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pt idx="30">
                  <c:v>2056</c:v>
                </c:pt>
                <c:pt idx="31">
                  <c:v>2057</c:v>
                </c:pt>
                <c:pt idx="32">
                  <c:v>2058</c:v>
                </c:pt>
                <c:pt idx="33">
                  <c:v>2059</c:v>
                </c:pt>
                <c:pt idx="34">
                  <c:v>2060</c:v>
                </c:pt>
                <c:pt idx="35">
                  <c:v>2061</c:v>
                </c:pt>
                <c:pt idx="36">
                  <c:v>2062</c:v>
                </c:pt>
                <c:pt idx="37">
                  <c:v>2063</c:v>
                </c:pt>
                <c:pt idx="38">
                  <c:v>2064</c:v>
                </c:pt>
                <c:pt idx="39">
                  <c:v>2065</c:v>
                </c:pt>
                <c:pt idx="40">
                  <c:v>2066</c:v>
                </c:pt>
                <c:pt idx="41">
                  <c:v>2067</c:v>
                </c:pt>
                <c:pt idx="42">
                  <c:v>2068</c:v>
                </c:pt>
                <c:pt idx="43">
                  <c:v>2069</c:v>
                </c:pt>
                <c:pt idx="44">
                  <c:v>2070</c:v>
                </c:pt>
                <c:pt idx="45">
                  <c:v>2071</c:v>
                </c:pt>
                <c:pt idx="46">
                  <c:v>2072</c:v>
                </c:pt>
                <c:pt idx="47">
                  <c:v>2073</c:v>
                </c:pt>
                <c:pt idx="48">
                  <c:v>2074</c:v>
                </c:pt>
                <c:pt idx="49">
                  <c:v>2075</c:v>
                </c:pt>
                <c:pt idx="50">
                  <c:v>2076</c:v>
                </c:pt>
                <c:pt idx="51">
                  <c:v>2077</c:v>
                </c:pt>
                <c:pt idx="52">
                  <c:v>2078</c:v>
                </c:pt>
                <c:pt idx="53">
                  <c:v>2079</c:v>
                </c:pt>
                <c:pt idx="54">
                  <c:v>2080</c:v>
                </c:pt>
                <c:pt idx="55">
                  <c:v>2081</c:v>
                </c:pt>
                <c:pt idx="56">
                  <c:v>2082</c:v>
                </c:pt>
                <c:pt idx="57">
                  <c:v>2083</c:v>
                </c:pt>
                <c:pt idx="58">
                  <c:v>2084</c:v>
                </c:pt>
                <c:pt idx="59">
                  <c:v>2085</c:v>
                </c:pt>
                <c:pt idx="60">
                  <c:v>2086</c:v>
                </c:pt>
                <c:pt idx="61">
                  <c:v>2087</c:v>
                </c:pt>
                <c:pt idx="62">
                  <c:v>2088</c:v>
                </c:pt>
              </c:numCache>
            </c:numRef>
          </c:cat>
          <c:val>
            <c:numRef>
              <c:f>Summary!$D$52:$BN$52</c:f>
              <c:numCache>
                <c:formatCode>0.0</c:formatCode>
                <c:ptCount val="6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numCache>
            </c:numRef>
          </c:val>
          <c:extLst>
            <c:ext xmlns:c16="http://schemas.microsoft.com/office/drawing/2014/chart" uri="{C3380CC4-5D6E-409C-BE32-E72D297353CC}">
              <c16:uniqueId val="{00000001-BDB7-406C-9561-1D7B765CA671}"/>
            </c:ext>
          </c:extLst>
        </c:ser>
        <c:ser>
          <c:idx val="2"/>
          <c:order val="2"/>
          <c:tx>
            <c:strRef>
              <c:f>Summary!$A$53</c:f>
              <c:strCache>
                <c:ptCount val="1"/>
                <c:pt idx="0">
                  <c:v>Topsoiled</c:v>
                </c:pt>
              </c:strCache>
            </c:strRef>
          </c:tx>
          <c:spPr>
            <a:solidFill>
              <a:schemeClr val="accent3"/>
            </a:solidFill>
            <a:ln>
              <a:noFill/>
            </a:ln>
            <a:effectLst/>
          </c:spPr>
          <c:cat>
            <c:numRef>
              <c:f>Summary!$D$2:$BN$2</c:f>
              <c:numCache>
                <c:formatCode>General</c:formatCode>
                <c:ptCount val="63"/>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pt idx="30">
                  <c:v>2056</c:v>
                </c:pt>
                <c:pt idx="31">
                  <c:v>2057</c:v>
                </c:pt>
                <c:pt idx="32">
                  <c:v>2058</c:v>
                </c:pt>
                <c:pt idx="33">
                  <c:v>2059</c:v>
                </c:pt>
                <c:pt idx="34">
                  <c:v>2060</c:v>
                </c:pt>
                <c:pt idx="35">
                  <c:v>2061</c:v>
                </c:pt>
                <c:pt idx="36">
                  <c:v>2062</c:v>
                </c:pt>
                <c:pt idx="37">
                  <c:v>2063</c:v>
                </c:pt>
                <c:pt idx="38">
                  <c:v>2064</c:v>
                </c:pt>
                <c:pt idx="39">
                  <c:v>2065</c:v>
                </c:pt>
                <c:pt idx="40">
                  <c:v>2066</c:v>
                </c:pt>
                <c:pt idx="41">
                  <c:v>2067</c:v>
                </c:pt>
                <c:pt idx="42">
                  <c:v>2068</c:v>
                </c:pt>
                <c:pt idx="43">
                  <c:v>2069</c:v>
                </c:pt>
                <c:pt idx="44">
                  <c:v>2070</c:v>
                </c:pt>
                <c:pt idx="45">
                  <c:v>2071</c:v>
                </c:pt>
                <c:pt idx="46">
                  <c:v>2072</c:v>
                </c:pt>
                <c:pt idx="47">
                  <c:v>2073</c:v>
                </c:pt>
                <c:pt idx="48">
                  <c:v>2074</c:v>
                </c:pt>
                <c:pt idx="49">
                  <c:v>2075</c:v>
                </c:pt>
                <c:pt idx="50">
                  <c:v>2076</c:v>
                </c:pt>
                <c:pt idx="51">
                  <c:v>2077</c:v>
                </c:pt>
                <c:pt idx="52">
                  <c:v>2078</c:v>
                </c:pt>
                <c:pt idx="53">
                  <c:v>2079</c:v>
                </c:pt>
                <c:pt idx="54">
                  <c:v>2080</c:v>
                </c:pt>
                <c:pt idx="55">
                  <c:v>2081</c:v>
                </c:pt>
                <c:pt idx="56">
                  <c:v>2082</c:v>
                </c:pt>
                <c:pt idx="57">
                  <c:v>2083</c:v>
                </c:pt>
                <c:pt idx="58">
                  <c:v>2084</c:v>
                </c:pt>
                <c:pt idx="59">
                  <c:v>2085</c:v>
                </c:pt>
                <c:pt idx="60">
                  <c:v>2086</c:v>
                </c:pt>
                <c:pt idx="61">
                  <c:v>2087</c:v>
                </c:pt>
                <c:pt idx="62">
                  <c:v>2088</c:v>
                </c:pt>
              </c:numCache>
            </c:numRef>
          </c:cat>
          <c:val>
            <c:numRef>
              <c:f>Summary!$D$53:$BN$53</c:f>
              <c:numCache>
                <c:formatCode>0.0</c:formatCode>
                <c:ptCount val="6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numCache>
            </c:numRef>
          </c:val>
          <c:extLst>
            <c:ext xmlns:c16="http://schemas.microsoft.com/office/drawing/2014/chart" uri="{C3380CC4-5D6E-409C-BE32-E72D297353CC}">
              <c16:uniqueId val="{00000002-BDB7-406C-9561-1D7B765CA671}"/>
            </c:ext>
          </c:extLst>
        </c:ser>
        <c:ser>
          <c:idx val="3"/>
          <c:order val="3"/>
          <c:tx>
            <c:strRef>
              <c:f>Summary!$A$54</c:f>
              <c:strCache>
                <c:ptCount val="1"/>
                <c:pt idx="0">
                  <c:v>Reveg</c:v>
                </c:pt>
              </c:strCache>
            </c:strRef>
          </c:tx>
          <c:spPr>
            <a:solidFill>
              <a:schemeClr val="accent4"/>
            </a:solidFill>
            <a:ln>
              <a:noFill/>
            </a:ln>
            <a:effectLst/>
          </c:spPr>
          <c:cat>
            <c:numRef>
              <c:f>Summary!$D$2:$BN$2</c:f>
              <c:numCache>
                <c:formatCode>General</c:formatCode>
                <c:ptCount val="63"/>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pt idx="30">
                  <c:v>2056</c:v>
                </c:pt>
                <c:pt idx="31">
                  <c:v>2057</c:v>
                </c:pt>
                <c:pt idx="32">
                  <c:v>2058</c:v>
                </c:pt>
                <c:pt idx="33">
                  <c:v>2059</c:v>
                </c:pt>
                <c:pt idx="34">
                  <c:v>2060</c:v>
                </c:pt>
                <c:pt idx="35">
                  <c:v>2061</c:v>
                </c:pt>
                <c:pt idx="36">
                  <c:v>2062</c:v>
                </c:pt>
                <c:pt idx="37">
                  <c:v>2063</c:v>
                </c:pt>
                <c:pt idx="38">
                  <c:v>2064</c:v>
                </c:pt>
                <c:pt idx="39">
                  <c:v>2065</c:v>
                </c:pt>
                <c:pt idx="40">
                  <c:v>2066</c:v>
                </c:pt>
                <c:pt idx="41">
                  <c:v>2067</c:v>
                </c:pt>
                <c:pt idx="42">
                  <c:v>2068</c:v>
                </c:pt>
                <c:pt idx="43">
                  <c:v>2069</c:v>
                </c:pt>
                <c:pt idx="44">
                  <c:v>2070</c:v>
                </c:pt>
                <c:pt idx="45">
                  <c:v>2071</c:v>
                </c:pt>
                <c:pt idx="46">
                  <c:v>2072</c:v>
                </c:pt>
                <c:pt idx="47">
                  <c:v>2073</c:v>
                </c:pt>
                <c:pt idx="48">
                  <c:v>2074</c:v>
                </c:pt>
                <c:pt idx="49">
                  <c:v>2075</c:v>
                </c:pt>
                <c:pt idx="50">
                  <c:v>2076</c:v>
                </c:pt>
                <c:pt idx="51">
                  <c:v>2077</c:v>
                </c:pt>
                <c:pt idx="52">
                  <c:v>2078</c:v>
                </c:pt>
                <c:pt idx="53">
                  <c:v>2079</c:v>
                </c:pt>
                <c:pt idx="54">
                  <c:v>2080</c:v>
                </c:pt>
                <c:pt idx="55">
                  <c:v>2081</c:v>
                </c:pt>
                <c:pt idx="56">
                  <c:v>2082</c:v>
                </c:pt>
                <c:pt idx="57">
                  <c:v>2083</c:v>
                </c:pt>
                <c:pt idx="58">
                  <c:v>2084</c:v>
                </c:pt>
                <c:pt idx="59">
                  <c:v>2085</c:v>
                </c:pt>
                <c:pt idx="60">
                  <c:v>2086</c:v>
                </c:pt>
                <c:pt idx="61">
                  <c:v>2087</c:v>
                </c:pt>
                <c:pt idx="62">
                  <c:v>2088</c:v>
                </c:pt>
              </c:numCache>
            </c:numRef>
          </c:cat>
          <c:val>
            <c:numRef>
              <c:f>Summary!$D$54:$BN$54</c:f>
              <c:numCache>
                <c:formatCode>0.0</c:formatCode>
                <c:ptCount val="63"/>
                <c:pt idx="0">
                  <c:v>0</c:v>
                </c:pt>
                <c:pt idx="1">
                  <c:v>0</c:v>
                </c:pt>
                <c:pt idx="2">
                  <c:v>0</c:v>
                </c:pt>
                <c:pt idx="3">
                  <c:v>0</c:v>
                </c:pt>
                <c:pt idx="4">
                  <c:v>0</c:v>
                </c:pt>
                <c:pt idx="5">
                  <c:v>0</c:v>
                </c:pt>
                <c:pt idx="6">
                  <c:v>0</c:v>
                </c:pt>
                <c:pt idx="7">
                  <c:v>33.869</c:v>
                </c:pt>
                <c:pt idx="8">
                  <c:v>78.697000000000003</c:v>
                </c:pt>
                <c:pt idx="9">
                  <c:v>129.40700000000001</c:v>
                </c:pt>
                <c:pt idx="10">
                  <c:v>241.43900000000002</c:v>
                </c:pt>
                <c:pt idx="11">
                  <c:v>433.27699999999999</c:v>
                </c:pt>
                <c:pt idx="12">
                  <c:v>509.03999999999996</c:v>
                </c:pt>
                <c:pt idx="13">
                  <c:v>543.51400000000001</c:v>
                </c:pt>
                <c:pt idx="14">
                  <c:v>601.03399999999999</c:v>
                </c:pt>
                <c:pt idx="15">
                  <c:v>657.9899999999999</c:v>
                </c:pt>
                <c:pt idx="16">
                  <c:v>680.76199999999994</c:v>
                </c:pt>
                <c:pt idx="17">
                  <c:v>701.06399999999985</c:v>
                </c:pt>
                <c:pt idx="18">
                  <c:v>701.06399999999985</c:v>
                </c:pt>
                <c:pt idx="19">
                  <c:v>725.3119999999999</c:v>
                </c:pt>
                <c:pt idx="20">
                  <c:v>759.93</c:v>
                </c:pt>
                <c:pt idx="21">
                  <c:v>825.22</c:v>
                </c:pt>
                <c:pt idx="22">
                  <c:v>860.49299999999994</c:v>
                </c:pt>
                <c:pt idx="23">
                  <c:v>860.49299999999994</c:v>
                </c:pt>
                <c:pt idx="24">
                  <c:v>860.49299999999994</c:v>
                </c:pt>
                <c:pt idx="25">
                  <c:v>895.03099999999995</c:v>
                </c:pt>
                <c:pt idx="26">
                  <c:v>895.03099999999995</c:v>
                </c:pt>
                <c:pt idx="27">
                  <c:v>1066.5909999999999</c:v>
                </c:pt>
                <c:pt idx="28">
                  <c:v>1376.4119999999998</c:v>
                </c:pt>
                <c:pt idx="29">
                  <c:v>1421.7450000000001</c:v>
                </c:pt>
                <c:pt idx="30">
                  <c:v>1534.6130000000003</c:v>
                </c:pt>
                <c:pt idx="31">
                  <c:v>1547.2130000000002</c:v>
                </c:pt>
                <c:pt idx="32">
                  <c:v>1547.2130000000002</c:v>
                </c:pt>
                <c:pt idx="33">
                  <c:v>1547.2130000000002</c:v>
                </c:pt>
                <c:pt idx="34">
                  <c:v>1547.2130000000002</c:v>
                </c:pt>
                <c:pt idx="35">
                  <c:v>1405.2130000000002</c:v>
                </c:pt>
                <c:pt idx="36">
                  <c:v>1405.2130000000002</c:v>
                </c:pt>
                <c:pt idx="37">
                  <c:v>1405.2130000000002</c:v>
                </c:pt>
                <c:pt idx="38">
                  <c:v>1381.2130000000002</c:v>
                </c:pt>
                <c:pt idx="39">
                  <c:v>727.21300000000019</c:v>
                </c:pt>
                <c:pt idx="40">
                  <c:v>699.21000000000026</c:v>
                </c:pt>
                <c:pt idx="41">
                  <c:v>540.31000000000017</c:v>
                </c:pt>
                <c:pt idx="42">
                  <c:v>540.31000000000017</c:v>
                </c:pt>
                <c:pt idx="43">
                  <c:v>540.31000000000017</c:v>
                </c:pt>
                <c:pt idx="44">
                  <c:v>540.31000000000017</c:v>
                </c:pt>
                <c:pt idx="45">
                  <c:v>506.31000000000023</c:v>
                </c:pt>
                <c:pt idx="46">
                  <c:v>506.31000000000023</c:v>
                </c:pt>
                <c:pt idx="47">
                  <c:v>506.31000000000023</c:v>
                </c:pt>
                <c:pt idx="48">
                  <c:v>327.21000000000009</c:v>
                </c:pt>
                <c:pt idx="49">
                  <c:v>327.21000000000009</c:v>
                </c:pt>
                <c:pt idx="50">
                  <c:v>-8.9999999999633928E-2</c:v>
                </c:pt>
                <c:pt idx="51">
                  <c:v>-8.9999999999633928E-2</c:v>
                </c:pt>
                <c:pt idx="52">
                  <c:v>-8.9999999999633928E-2</c:v>
                </c:pt>
                <c:pt idx="53">
                  <c:v>-8.9999999999633928E-2</c:v>
                </c:pt>
                <c:pt idx="54">
                  <c:v>-8.9999999999633928E-2</c:v>
                </c:pt>
                <c:pt idx="55">
                  <c:v>-8.9999999999633928E-2</c:v>
                </c:pt>
                <c:pt idx="56">
                  <c:v>-8.9999999999633928E-2</c:v>
                </c:pt>
                <c:pt idx="57">
                  <c:v>-8.9999999999633928E-2</c:v>
                </c:pt>
                <c:pt idx="58">
                  <c:v>-8.9999999999633928E-2</c:v>
                </c:pt>
                <c:pt idx="59">
                  <c:v>-8.9999999999633928E-2</c:v>
                </c:pt>
                <c:pt idx="60">
                  <c:v>-8.9999999999633928E-2</c:v>
                </c:pt>
                <c:pt idx="61">
                  <c:v>-8.9999999999633928E-2</c:v>
                </c:pt>
                <c:pt idx="62">
                  <c:v>-8.9999999999633928E-2</c:v>
                </c:pt>
              </c:numCache>
            </c:numRef>
          </c:val>
          <c:extLst>
            <c:ext xmlns:c16="http://schemas.microsoft.com/office/drawing/2014/chart" uri="{C3380CC4-5D6E-409C-BE32-E72D297353CC}">
              <c16:uniqueId val="{00000003-BDB7-406C-9561-1D7B765CA671}"/>
            </c:ext>
          </c:extLst>
        </c:ser>
        <c:ser>
          <c:idx val="4"/>
          <c:order val="4"/>
          <c:tx>
            <c:strRef>
              <c:f>Summary!$A$55</c:f>
              <c:strCache>
                <c:ptCount val="1"/>
                <c:pt idx="0">
                  <c:v>Certified</c:v>
                </c:pt>
              </c:strCache>
            </c:strRef>
          </c:tx>
          <c:spPr>
            <a:solidFill>
              <a:schemeClr val="accent5"/>
            </a:solidFill>
            <a:ln>
              <a:noFill/>
            </a:ln>
            <a:effectLst/>
          </c:spPr>
          <c:cat>
            <c:numRef>
              <c:f>Summary!$D$2:$BN$2</c:f>
              <c:numCache>
                <c:formatCode>General</c:formatCode>
                <c:ptCount val="63"/>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pt idx="30">
                  <c:v>2056</c:v>
                </c:pt>
                <c:pt idx="31">
                  <c:v>2057</c:v>
                </c:pt>
                <c:pt idx="32">
                  <c:v>2058</c:v>
                </c:pt>
                <c:pt idx="33">
                  <c:v>2059</c:v>
                </c:pt>
                <c:pt idx="34">
                  <c:v>2060</c:v>
                </c:pt>
                <c:pt idx="35">
                  <c:v>2061</c:v>
                </c:pt>
                <c:pt idx="36">
                  <c:v>2062</c:v>
                </c:pt>
                <c:pt idx="37">
                  <c:v>2063</c:v>
                </c:pt>
                <c:pt idx="38">
                  <c:v>2064</c:v>
                </c:pt>
                <c:pt idx="39">
                  <c:v>2065</c:v>
                </c:pt>
                <c:pt idx="40">
                  <c:v>2066</c:v>
                </c:pt>
                <c:pt idx="41">
                  <c:v>2067</c:v>
                </c:pt>
                <c:pt idx="42">
                  <c:v>2068</c:v>
                </c:pt>
                <c:pt idx="43">
                  <c:v>2069</c:v>
                </c:pt>
                <c:pt idx="44">
                  <c:v>2070</c:v>
                </c:pt>
                <c:pt idx="45">
                  <c:v>2071</c:v>
                </c:pt>
                <c:pt idx="46">
                  <c:v>2072</c:v>
                </c:pt>
                <c:pt idx="47">
                  <c:v>2073</c:v>
                </c:pt>
                <c:pt idx="48">
                  <c:v>2074</c:v>
                </c:pt>
                <c:pt idx="49">
                  <c:v>2075</c:v>
                </c:pt>
                <c:pt idx="50">
                  <c:v>2076</c:v>
                </c:pt>
                <c:pt idx="51">
                  <c:v>2077</c:v>
                </c:pt>
                <c:pt idx="52">
                  <c:v>2078</c:v>
                </c:pt>
                <c:pt idx="53">
                  <c:v>2079</c:v>
                </c:pt>
                <c:pt idx="54">
                  <c:v>2080</c:v>
                </c:pt>
                <c:pt idx="55">
                  <c:v>2081</c:v>
                </c:pt>
                <c:pt idx="56">
                  <c:v>2082</c:v>
                </c:pt>
                <c:pt idx="57">
                  <c:v>2083</c:v>
                </c:pt>
                <c:pt idx="58">
                  <c:v>2084</c:v>
                </c:pt>
                <c:pt idx="59">
                  <c:v>2085</c:v>
                </c:pt>
                <c:pt idx="60">
                  <c:v>2086</c:v>
                </c:pt>
                <c:pt idx="61">
                  <c:v>2087</c:v>
                </c:pt>
                <c:pt idx="62">
                  <c:v>2088</c:v>
                </c:pt>
              </c:numCache>
            </c:numRef>
          </c:cat>
          <c:val>
            <c:numRef>
              <c:f>Summary!$D$55:$BN$55</c:f>
              <c:numCache>
                <c:formatCode>0.0</c:formatCode>
                <c:ptCount val="6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171.56</c:v>
                </c:pt>
                <c:pt idx="30">
                  <c:v>211.56</c:v>
                </c:pt>
                <c:pt idx="31">
                  <c:v>525.55999999999995</c:v>
                </c:pt>
                <c:pt idx="32">
                  <c:v>525.55999999999995</c:v>
                </c:pt>
                <c:pt idx="33">
                  <c:v>525.55999999999995</c:v>
                </c:pt>
                <c:pt idx="34">
                  <c:v>525.55999999999995</c:v>
                </c:pt>
                <c:pt idx="35">
                  <c:v>667.56</c:v>
                </c:pt>
                <c:pt idx="36">
                  <c:v>667.56</c:v>
                </c:pt>
                <c:pt idx="37">
                  <c:v>667.56</c:v>
                </c:pt>
                <c:pt idx="38">
                  <c:v>691.56</c:v>
                </c:pt>
                <c:pt idx="39">
                  <c:v>1345.56</c:v>
                </c:pt>
                <c:pt idx="40">
                  <c:v>1373.5629999999999</c:v>
                </c:pt>
                <c:pt idx="41">
                  <c:v>1532.463</c:v>
                </c:pt>
                <c:pt idx="42">
                  <c:v>1532.463</c:v>
                </c:pt>
                <c:pt idx="43">
                  <c:v>1532.463</c:v>
                </c:pt>
                <c:pt idx="44">
                  <c:v>1532.463</c:v>
                </c:pt>
                <c:pt idx="45">
                  <c:v>1566.463</c:v>
                </c:pt>
                <c:pt idx="46">
                  <c:v>1566.463</c:v>
                </c:pt>
                <c:pt idx="47">
                  <c:v>1566.463</c:v>
                </c:pt>
                <c:pt idx="48">
                  <c:v>1745.5630000000001</c:v>
                </c:pt>
                <c:pt idx="49">
                  <c:v>1745.5630000000001</c:v>
                </c:pt>
                <c:pt idx="50">
                  <c:v>2072.8629999999998</c:v>
                </c:pt>
                <c:pt idx="51">
                  <c:v>2072.8629999999998</c:v>
                </c:pt>
                <c:pt idx="52">
                  <c:v>2072.8629999999998</c:v>
                </c:pt>
                <c:pt idx="53">
                  <c:v>2072.8629999999998</c:v>
                </c:pt>
                <c:pt idx="54">
                  <c:v>2072.8629999999998</c:v>
                </c:pt>
                <c:pt idx="55">
                  <c:v>2072.8629999999998</c:v>
                </c:pt>
                <c:pt idx="56">
                  <c:v>2072.8629999999998</c:v>
                </c:pt>
                <c:pt idx="57">
                  <c:v>2072.8629999999998</c:v>
                </c:pt>
                <c:pt idx="58">
                  <c:v>2072.8629999999998</c:v>
                </c:pt>
                <c:pt idx="59">
                  <c:v>2072.8629999999998</c:v>
                </c:pt>
                <c:pt idx="60">
                  <c:v>2072.8629999999998</c:v>
                </c:pt>
                <c:pt idx="61">
                  <c:v>2072.8629999999998</c:v>
                </c:pt>
                <c:pt idx="62">
                  <c:v>2072.8629999999998</c:v>
                </c:pt>
              </c:numCache>
            </c:numRef>
          </c:val>
          <c:extLst>
            <c:ext xmlns:c16="http://schemas.microsoft.com/office/drawing/2014/chart" uri="{C3380CC4-5D6E-409C-BE32-E72D297353CC}">
              <c16:uniqueId val="{00000004-BDB7-406C-9561-1D7B765CA671}"/>
            </c:ext>
          </c:extLst>
        </c:ser>
        <c:dLbls>
          <c:showLegendKey val="0"/>
          <c:showVal val="0"/>
          <c:showCatName val="0"/>
          <c:showSerName val="0"/>
          <c:showPercent val="0"/>
          <c:showBubbleSize val="0"/>
        </c:dLbls>
        <c:axId val="408736776"/>
        <c:axId val="408736448"/>
      </c:areaChart>
      <c:catAx>
        <c:axId val="40873677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8736448"/>
        <c:crosses val="autoZero"/>
        <c:auto val="1"/>
        <c:lblAlgn val="ctr"/>
        <c:lblOffset val="100"/>
        <c:noMultiLvlLbl val="0"/>
      </c:catAx>
      <c:valAx>
        <c:axId val="40873644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8736776"/>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aseline="0"/>
              <a:t>Disturbed vs </a:t>
            </a:r>
            <a:r>
              <a:rPr lang="en-US" sz="1400" b="0" i="0" u="none" strike="noStrike" baseline="0">
                <a:effectLst/>
              </a:rPr>
              <a:t>Revegetated</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smoothMarker"/>
        <c:varyColors val="0"/>
        <c:ser>
          <c:idx val="0"/>
          <c:order val="0"/>
          <c:tx>
            <c:strRef>
              <c:f>Summary!$A$45</c:f>
              <c:strCache>
                <c:ptCount val="1"/>
                <c:pt idx="0">
                  <c:v>Reveg</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Summary!$B$45:$BN$45</c:f>
              <c:numCache>
                <c:formatCode>General</c:formatCode>
                <c:ptCount val="65"/>
                <c:pt idx="2" formatCode="0.0">
                  <c:v>0</c:v>
                </c:pt>
                <c:pt idx="3" formatCode="0.0">
                  <c:v>0</c:v>
                </c:pt>
                <c:pt idx="4" formatCode="0.0">
                  <c:v>0</c:v>
                </c:pt>
                <c:pt idx="5" formatCode="0.0">
                  <c:v>0</c:v>
                </c:pt>
                <c:pt idx="6" formatCode="0.0">
                  <c:v>0</c:v>
                </c:pt>
                <c:pt idx="7" formatCode="0.0">
                  <c:v>0</c:v>
                </c:pt>
                <c:pt idx="8" formatCode="0.0">
                  <c:v>0</c:v>
                </c:pt>
                <c:pt idx="9" formatCode="0.0">
                  <c:v>33.869</c:v>
                </c:pt>
                <c:pt idx="10" formatCode="0.0">
                  <c:v>78.697000000000003</c:v>
                </c:pt>
                <c:pt idx="11" formatCode="0.0">
                  <c:v>129.40700000000001</c:v>
                </c:pt>
                <c:pt idx="12" formatCode="0.0">
                  <c:v>241.43900000000002</c:v>
                </c:pt>
                <c:pt idx="13" formatCode="0.0">
                  <c:v>433.27699999999999</c:v>
                </c:pt>
                <c:pt idx="14" formatCode="0.0">
                  <c:v>509.03999999999996</c:v>
                </c:pt>
                <c:pt idx="15" formatCode="0.0">
                  <c:v>543.51400000000001</c:v>
                </c:pt>
                <c:pt idx="16" formatCode="0.0">
                  <c:v>601.03399999999999</c:v>
                </c:pt>
                <c:pt idx="17" formatCode="0.0">
                  <c:v>657.9899999999999</c:v>
                </c:pt>
                <c:pt idx="18" formatCode="0.0">
                  <c:v>680.76199999999994</c:v>
                </c:pt>
                <c:pt idx="19" formatCode="0.0">
                  <c:v>701.06399999999985</c:v>
                </c:pt>
                <c:pt idx="20" formatCode="0.0">
                  <c:v>701.06399999999985</c:v>
                </c:pt>
                <c:pt idx="21" formatCode="0.0">
                  <c:v>725.3119999999999</c:v>
                </c:pt>
                <c:pt idx="22" formatCode="0.0">
                  <c:v>759.93</c:v>
                </c:pt>
                <c:pt idx="23" formatCode="0.0">
                  <c:v>825.22</c:v>
                </c:pt>
                <c:pt idx="24" formatCode="0.0">
                  <c:v>860.49299999999994</c:v>
                </c:pt>
                <c:pt idx="25" formatCode="0.0">
                  <c:v>860.49299999999994</c:v>
                </c:pt>
                <c:pt idx="26" formatCode="0.0">
                  <c:v>860.49299999999994</c:v>
                </c:pt>
                <c:pt idx="27" formatCode="0.0">
                  <c:v>895.03099999999995</c:v>
                </c:pt>
                <c:pt idx="28" formatCode="0.0">
                  <c:v>895.03099999999995</c:v>
                </c:pt>
                <c:pt idx="29" formatCode="0.0">
                  <c:v>895.03099999999995</c:v>
                </c:pt>
                <c:pt idx="30" formatCode="0.0">
                  <c:v>1204.8519999999999</c:v>
                </c:pt>
                <c:pt idx="31" formatCode="0.0">
                  <c:v>1421.7450000000001</c:v>
                </c:pt>
                <c:pt idx="32" formatCode="0.0">
                  <c:v>1574.6130000000003</c:v>
                </c:pt>
                <c:pt idx="33" formatCode="0.0">
                  <c:v>1901.2130000000002</c:v>
                </c:pt>
                <c:pt idx="34" formatCode="0.0">
                  <c:v>1901.2130000000002</c:v>
                </c:pt>
                <c:pt idx="35" formatCode="0.0">
                  <c:v>1901.2130000000002</c:v>
                </c:pt>
                <c:pt idx="36" formatCode="0.0">
                  <c:v>1901.2130000000002</c:v>
                </c:pt>
                <c:pt idx="37" formatCode="0.0">
                  <c:v>1901.2130000000002</c:v>
                </c:pt>
                <c:pt idx="38" formatCode="0.0">
                  <c:v>1901.2130000000002</c:v>
                </c:pt>
                <c:pt idx="39" formatCode="0.0">
                  <c:v>1901.2130000000002</c:v>
                </c:pt>
                <c:pt idx="40" formatCode="0.0">
                  <c:v>1901.2130000000002</c:v>
                </c:pt>
                <c:pt idx="41" formatCode="0.0">
                  <c:v>1901.2130000000002</c:v>
                </c:pt>
                <c:pt idx="42" formatCode="0.0">
                  <c:v>1901.2130000000002</c:v>
                </c:pt>
                <c:pt idx="43" formatCode="0.0">
                  <c:v>1901.2130000000002</c:v>
                </c:pt>
                <c:pt idx="44" formatCode="0.0">
                  <c:v>1901.2130000000002</c:v>
                </c:pt>
                <c:pt idx="45" formatCode="0.0">
                  <c:v>1901.2130000000002</c:v>
                </c:pt>
                <c:pt idx="46" formatCode="0.0">
                  <c:v>1901.2130000000002</c:v>
                </c:pt>
                <c:pt idx="47" formatCode="0.0">
                  <c:v>1901.2130000000002</c:v>
                </c:pt>
                <c:pt idx="48" formatCode="0.0">
                  <c:v>1901.2130000000002</c:v>
                </c:pt>
                <c:pt idx="49" formatCode="0.0">
                  <c:v>1901.2130000000002</c:v>
                </c:pt>
                <c:pt idx="50" formatCode="0.0">
                  <c:v>1901.2130000000002</c:v>
                </c:pt>
                <c:pt idx="51" formatCode="0.0">
                  <c:v>1901.2130000000002</c:v>
                </c:pt>
                <c:pt idx="52" formatCode="0.0">
                  <c:v>1901.2130000000002</c:v>
                </c:pt>
                <c:pt idx="53" formatCode="0.0">
                  <c:v>1901.2130000000002</c:v>
                </c:pt>
                <c:pt idx="54" formatCode="0.0">
                  <c:v>1901.2130000000002</c:v>
                </c:pt>
                <c:pt idx="55" formatCode="0.0">
                  <c:v>1901.2130000000002</c:v>
                </c:pt>
                <c:pt idx="56" formatCode="0.0">
                  <c:v>1901.2130000000002</c:v>
                </c:pt>
                <c:pt idx="57" formatCode="0.0">
                  <c:v>1901.2130000000002</c:v>
                </c:pt>
                <c:pt idx="58" formatCode="0.0">
                  <c:v>1901.2130000000002</c:v>
                </c:pt>
                <c:pt idx="59" formatCode="0.0">
                  <c:v>1901.2130000000002</c:v>
                </c:pt>
                <c:pt idx="60" formatCode="0.0">
                  <c:v>1901.2130000000002</c:v>
                </c:pt>
                <c:pt idx="61" formatCode="0.0">
                  <c:v>1901.2130000000002</c:v>
                </c:pt>
                <c:pt idx="62" formatCode="0.0">
                  <c:v>1901.2130000000002</c:v>
                </c:pt>
                <c:pt idx="63" formatCode="0.0">
                  <c:v>1901.2130000000002</c:v>
                </c:pt>
                <c:pt idx="64" formatCode="0.0">
                  <c:v>1901.2130000000002</c:v>
                </c:pt>
              </c:numCache>
            </c:numRef>
          </c:xVal>
          <c:yVal>
            <c:numRef>
              <c:f>Summary!$B$41:$BN$41</c:f>
              <c:numCache>
                <c:formatCode>General</c:formatCode>
                <c:ptCount val="65"/>
                <c:pt idx="2" formatCode="0.0">
                  <c:v>0</c:v>
                </c:pt>
                <c:pt idx="3" formatCode="0.0">
                  <c:v>729.56120186411579</c:v>
                </c:pt>
                <c:pt idx="4" formatCode="0.0">
                  <c:v>903.65681792167447</c:v>
                </c:pt>
                <c:pt idx="5" formatCode="0.0">
                  <c:v>967.03631796255422</c:v>
                </c:pt>
                <c:pt idx="6" formatCode="0.0">
                  <c:v>1198.0823657100809</c:v>
                </c:pt>
                <c:pt idx="7" formatCode="0.0">
                  <c:v>1379.2096226800752</c:v>
                </c:pt>
                <c:pt idx="8" formatCode="0.0">
                  <c:v>1410.3011949145614</c:v>
                </c:pt>
                <c:pt idx="9" formatCode="0.0">
                  <c:v>1457.854619818494</c:v>
                </c:pt>
                <c:pt idx="10" formatCode="0.0">
                  <c:v>1490.5185450903443</c:v>
                </c:pt>
                <c:pt idx="11" formatCode="0.0">
                  <c:v>1519.6900887090183</c:v>
                </c:pt>
                <c:pt idx="12" formatCode="0.0">
                  <c:v>1544.8985213801</c:v>
                </c:pt>
                <c:pt idx="13" formatCode="0.0">
                  <c:v>1569.8715894039738</c:v>
                </c:pt>
                <c:pt idx="14" formatCode="0.0">
                  <c:v>1743.7348311667079</c:v>
                </c:pt>
                <c:pt idx="15" formatCode="0.0">
                  <c:v>1946.8652644918652</c:v>
                </c:pt>
                <c:pt idx="16" formatCode="0.0">
                  <c:v>1965.7784253127302</c:v>
                </c:pt>
                <c:pt idx="17" formatCode="0.0">
                  <c:v>1995.4001892731585</c:v>
                </c:pt>
                <c:pt idx="18" formatCode="0.0">
                  <c:v>2023.3470554329165</c:v>
                </c:pt>
                <c:pt idx="19" formatCode="0.0">
                  <c:v>2058.4368968195572</c:v>
                </c:pt>
                <c:pt idx="20" formatCode="0.0">
                  <c:v>2071.1944419916608</c:v>
                </c:pt>
                <c:pt idx="21" formatCode="0.0">
                  <c:v>2072.8000000000002</c:v>
                </c:pt>
                <c:pt idx="22" formatCode="0.0">
                  <c:v>2072.8000000000002</c:v>
                </c:pt>
                <c:pt idx="23" formatCode="0.0">
                  <c:v>2072.8000000000002</c:v>
                </c:pt>
                <c:pt idx="24" formatCode="0.0">
                  <c:v>2072.8000000000002</c:v>
                </c:pt>
                <c:pt idx="25" formatCode="0.0">
                  <c:v>2072.8000000000002</c:v>
                </c:pt>
                <c:pt idx="26" formatCode="0.0">
                  <c:v>2072.8000000000002</c:v>
                </c:pt>
                <c:pt idx="27" formatCode="0.0">
                  <c:v>2072.8000000000002</c:v>
                </c:pt>
                <c:pt idx="28" formatCode="0.0">
                  <c:v>2072.8000000000002</c:v>
                </c:pt>
                <c:pt idx="29" formatCode="0.0">
                  <c:v>2072.8000000000002</c:v>
                </c:pt>
                <c:pt idx="30" formatCode="0.0">
                  <c:v>2072.8000000000002</c:v>
                </c:pt>
                <c:pt idx="31" formatCode="0.0">
                  <c:v>2072.8000000000002</c:v>
                </c:pt>
                <c:pt idx="32" formatCode="0.0">
                  <c:v>2072.8000000000002</c:v>
                </c:pt>
                <c:pt idx="33" formatCode="0.0">
                  <c:v>2072.8000000000002</c:v>
                </c:pt>
                <c:pt idx="34" formatCode="0.0">
                  <c:v>2072.8000000000002</c:v>
                </c:pt>
                <c:pt idx="35" formatCode="0.0">
                  <c:v>2072.8000000000002</c:v>
                </c:pt>
                <c:pt idx="36" formatCode="0.0">
                  <c:v>2072.8000000000002</c:v>
                </c:pt>
                <c:pt idx="37" formatCode="0.0">
                  <c:v>2072.8000000000002</c:v>
                </c:pt>
                <c:pt idx="38" formatCode="0.0">
                  <c:v>2072.8000000000002</c:v>
                </c:pt>
                <c:pt idx="39" formatCode="0.0">
                  <c:v>2072.8000000000002</c:v>
                </c:pt>
                <c:pt idx="40" formatCode="0.0">
                  <c:v>2072.8000000000002</c:v>
                </c:pt>
                <c:pt idx="41" formatCode="0.0">
                  <c:v>2072.8000000000002</c:v>
                </c:pt>
                <c:pt idx="42" formatCode="0.0">
                  <c:v>2072.8000000000002</c:v>
                </c:pt>
                <c:pt idx="43" formatCode="0.0">
                  <c:v>2072.8000000000002</c:v>
                </c:pt>
                <c:pt idx="44" formatCode="0.0">
                  <c:v>2072.8000000000002</c:v>
                </c:pt>
                <c:pt idx="45" formatCode="0.0">
                  <c:v>2072.8000000000002</c:v>
                </c:pt>
                <c:pt idx="46" formatCode="0.0">
                  <c:v>2072.8000000000002</c:v>
                </c:pt>
                <c:pt idx="47" formatCode="0.0">
                  <c:v>2072.8000000000002</c:v>
                </c:pt>
                <c:pt idx="48" formatCode="0.0">
                  <c:v>2072.8000000000002</c:v>
                </c:pt>
                <c:pt idx="49" formatCode="0.0">
                  <c:v>2072.8000000000002</c:v>
                </c:pt>
                <c:pt idx="50" formatCode="0.0">
                  <c:v>2072.8000000000002</c:v>
                </c:pt>
                <c:pt idx="51" formatCode="0.0">
                  <c:v>2072.8000000000002</c:v>
                </c:pt>
                <c:pt idx="52" formatCode="0.0">
                  <c:v>2072.8000000000002</c:v>
                </c:pt>
                <c:pt idx="53" formatCode="0.0">
                  <c:v>2072.8000000000002</c:v>
                </c:pt>
                <c:pt idx="54" formatCode="0.0">
                  <c:v>2072.8000000000002</c:v>
                </c:pt>
                <c:pt idx="55" formatCode="0.0">
                  <c:v>2072.8000000000002</c:v>
                </c:pt>
                <c:pt idx="56" formatCode="0.0">
                  <c:v>2072.8000000000002</c:v>
                </c:pt>
                <c:pt idx="57" formatCode="0.0">
                  <c:v>2072.8000000000002</c:v>
                </c:pt>
                <c:pt idx="58" formatCode="0.0">
                  <c:v>2072.8000000000002</c:v>
                </c:pt>
                <c:pt idx="59" formatCode="0.0">
                  <c:v>2072.8000000000002</c:v>
                </c:pt>
                <c:pt idx="60" formatCode="0.0">
                  <c:v>2072.8000000000002</c:v>
                </c:pt>
                <c:pt idx="61" formatCode="0.0">
                  <c:v>2072.8000000000002</c:v>
                </c:pt>
                <c:pt idx="62" formatCode="0.0">
                  <c:v>2072.8000000000002</c:v>
                </c:pt>
                <c:pt idx="63" formatCode="0.0">
                  <c:v>2072.8000000000002</c:v>
                </c:pt>
                <c:pt idx="64" formatCode="0.0">
                  <c:v>2072.8000000000002</c:v>
                </c:pt>
              </c:numCache>
            </c:numRef>
          </c:yVal>
          <c:smooth val="1"/>
          <c:extLst>
            <c:ext xmlns:c16="http://schemas.microsoft.com/office/drawing/2014/chart" uri="{C3380CC4-5D6E-409C-BE32-E72D297353CC}">
              <c16:uniqueId val="{00000000-A611-4B8A-AC89-C0088EA28834}"/>
            </c:ext>
          </c:extLst>
        </c:ser>
        <c:dLbls>
          <c:showLegendKey val="0"/>
          <c:showVal val="0"/>
          <c:showCatName val="0"/>
          <c:showSerName val="0"/>
          <c:showPercent val="0"/>
          <c:showBubbleSize val="0"/>
        </c:dLbls>
        <c:axId val="635689992"/>
        <c:axId val="635688024"/>
      </c:scatterChart>
      <c:valAx>
        <c:axId val="635689992"/>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Reveged</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688024"/>
        <c:crosses val="autoZero"/>
        <c:crossBetween val="midCat"/>
      </c:valAx>
      <c:valAx>
        <c:axId val="635688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Disturbed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5689992"/>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Annual Completion Commitments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Summary!$A$59</c:f>
              <c:strCache>
                <c:ptCount val="1"/>
                <c:pt idx="0">
                  <c:v>Regraded</c:v>
                </c:pt>
              </c:strCache>
            </c:strRef>
          </c:tx>
          <c:spPr>
            <a:solidFill>
              <a:schemeClr val="accent1"/>
            </a:solidFill>
            <a:ln w="25400">
              <a:noFill/>
            </a:ln>
            <a:effectLst/>
          </c:spPr>
          <c:invertIfNegative val="0"/>
          <c:cat>
            <c:numRef>
              <c:f>Summary!$D$2:$BN$2</c:f>
              <c:numCache>
                <c:formatCode>General</c:formatCode>
                <c:ptCount val="63"/>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pt idx="30">
                  <c:v>2056</c:v>
                </c:pt>
                <c:pt idx="31">
                  <c:v>2057</c:v>
                </c:pt>
                <c:pt idx="32">
                  <c:v>2058</c:v>
                </c:pt>
                <c:pt idx="33">
                  <c:v>2059</c:v>
                </c:pt>
                <c:pt idx="34">
                  <c:v>2060</c:v>
                </c:pt>
                <c:pt idx="35">
                  <c:v>2061</c:v>
                </c:pt>
                <c:pt idx="36">
                  <c:v>2062</c:v>
                </c:pt>
                <c:pt idx="37">
                  <c:v>2063</c:v>
                </c:pt>
                <c:pt idx="38">
                  <c:v>2064</c:v>
                </c:pt>
                <c:pt idx="39">
                  <c:v>2065</c:v>
                </c:pt>
                <c:pt idx="40">
                  <c:v>2066</c:v>
                </c:pt>
                <c:pt idx="41">
                  <c:v>2067</c:v>
                </c:pt>
                <c:pt idx="42">
                  <c:v>2068</c:v>
                </c:pt>
                <c:pt idx="43">
                  <c:v>2069</c:v>
                </c:pt>
                <c:pt idx="44">
                  <c:v>2070</c:v>
                </c:pt>
                <c:pt idx="45">
                  <c:v>2071</c:v>
                </c:pt>
                <c:pt idx="46">
                  <c:v>2072</c:v>
                </c:pt>
                <c:pt idx="47">
                  <c:v>2073</c:v>
                </c:pt>
                <c:pt idx="48">
                  <c:v>2074</c:v>
                </c:pt>
                <c:pt idx="49">
                  <c:v>2075</c:v>
                </c:pt>
                <c:pt idx="50">
                  <c:v>2076</c:v>
                </c:pt>
                <c:pt idx="51">
                  <c:v>2077</c:v>
                </c:pt>
                <c:pt idx="52">
                  <c:v>2078</c:v>
                </c:pt>
                <c:pt idx="53">
                  <c:v>2079</c:v>
                </c:pt>
                <c:pt idx="54">
                  <c:v>2080</c:v>
                </c:pt>
                <c:pt idx="55">
                  <c:v>2081</c:v>
                </c:pt>
                <c:pt idx="56">
                  <c:v>2082</c:v>
                </c:pt>
                <c:pt idx="57">
                  <c:v>2083</c:v>
                </c:pt>
                <c:pt idx="58">
                  <c:v>2084</c:v>
                </c:pt>
                <c:pt idx="59">
                  <c:v>2085</c:v>
                </c:pt>
                <c:pt idx="60">
                  <c:v>2086</c:v>
                </c:pt>
                <c:pt idx="61">
                  <c:v>2087</c:v>
                </c:pt>
                <c:pt idx="62">
                  <c:v>2088</c:v>
                </c:pt>
              </c:numCache>
            </c:numRef>
          </c:cat>
          <c:val>
            <c:numRef>
              <c:f>Summary!$D$59:$BN$59</c:f>
              <c:numCache>
                <c:formatCode>0.0</c:formatCode>
                <c:ptCount val="63"/>
                <c:pt idx="0">
                  <c:v>0</c:v>
                </c:pt>
                <c:pt idx="1">
                  <c:v>0</c:v>
                </c:pt>
                <c:pt idx="2">
                  <c:v>0</c:v>
                </c:pt>
                <c:pt idx="3">
                  <c:v>0</c:v>
                </c:pt>
                <c:pt idx="4">
                  <c:v>0</c:v>
                </c:pt>
                <c:pt idx="5">
                  <c:v>0</c:v>
                </c:pt>
                <c:pt idx="6">
                  <c:v>0</c:v>
                </c:pt>
                <c:pt idx="7">
                  <c:v>33.869</c:v>
                </c:pt>
                <c:pt idx="8">
                  <c:v>44.828000000000003</c:v>
                </c:pt>
                <c:pt idx="9">
                  <c:v>50.710000000000008</c:v>
                </c:pt>
                <c:pt idx="10">
                  <c:v>112.03200000000001</c:v>
                </c:pt>
                <c:pt idx="11">
                  <c:v>191.83799999999997</c:v>
                </c:pt>
                <c:pt idx="12">
                  <c:v>75.762999999999977</c:v>
                </c:pt>
                <c:pt idx="13">
                  <c:v>34.474000000000046</c:v>
                </c:pt>
                <c:pt idx="14">
                  <c:v>57.519999999999982</c:v>
                </c:pt>
                <c:pt idx="15">
                  <c:v>56.955999999999904</c:v>
                </c:pt>
                <c:pt idx="16">
                  <c:v>22.772000000000048</c:v>
                </c:pt>
                <c:pt idx="17">
                  <c:v>20.301999999999907</c:v>
                </c:pt>
                <c:pt idx="18">
                  <c:v>0</c:v>
                </c:pt>
                <c:pt idx="19">
                  <c:v>24.248000000000047</c:v>
                </c:pt>
                <c:pt idx="20">
                  <c:v>34.618000000000052</c:v>
                </c:pt>
                <c:pt idx="21">
                  <c:v>65.290000000000077</c:v>
                </c:pt>
                <c:pt idx="22">
                  <c:v>35.272999999999911</c:v>
                </c:pt>
                <c:pt idx="23">
                  <c:v>0</c:v>
                </c:pt>
                <c:pt idx="24">
                  <c:v>0</c:v>
                </c:pt>
                <c:pt idx="25">
                  <c:v>34.538000000000011</c:v>
                </c:pt>
                <c:pt idx="26">
                  <c:v>0</c:v>
                </c:pt>
                <c:pt idx="27">
                  <c:v>0</c:v>
                </c:pt>
                <c:pt idx="28">
                  <c:v>309.82099999999991</c:v>
                </c:pt>
                <c:pt idx="29">
                  <c:v>216.89300000000026</c:v>
                </c:pt>
                <c:pt idx="30">
                  <c:v>152.86799999999994</c:v>
                </c:pt>
                <c:pt idx="31">
                  <c:v>326.60000000000014</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numCache>
            </c:numRef>
          </c:val>
          <c:extLst>
            <c:ext xmlns:c16="http://schemas.microsoft.com/office/drawing/2014/chart" uri="{C3380CC4-5D6E-409C-BE32-E72D297353CC}">
              <c16:uniqueId val="{00000000-BDB7-406C-9561-1D7B765CA671}"/>
            </c:ext>
          </c:extLst>
        </c:ser>
        <c:ser>
          <c:idx val="1"/>
          <c:order val="1"/>
          <c:tx>
            <c:strRef>
              <c:f>Summary!$A$60</c:f>
              <c:strCache>
                <c:ptCount val="1"/>
                <c:pt idx="0">
                  <c:v>Topsoiled</c:v>
                </c:pt>
              </c:strCache>
            </c:strRef>
          </c:tx>
          <c:spPr>
            <a:solidFill>
              <a:schemeClr val="accent2"/>
            </a:solidFill>
            <a:ln w="25400">
              <a:noFill/>
            </a:ln>
            <a:effectLst/>
          </c:spPr>
          <c:invertIfNegative val="0"/>
          <c:cat>
            <c:numRef>
              <c:f>Summary!$D$2:$BN$2</c:f>
              <c:numCache>
                <c:formatCode>General</c:formatCode>
                <c:ptCount val="63"/>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pt idx="30">
                  <c:v>2056</c:v>
                </c:pt>
                <c:pt idx="31">
                  <c:v>2057</c:v>
                </c:pt>
                <c:pt idx="32">
                  <c:v>2058</c:v>
                </c:pt>
                <c:pt idx="33">
                  <c:v>2059</c:v>
                </c:pt>
                <c:pt idx="34">
                  <c:v>2060</c:v>
                </c:pt>
                <c:pt idx="35">
                  <c:v>2061</c:v>
                </c:pt>
                <c:pt idx="36">
                  <c:v>2062</c:v>
                </c:pt>
                <c:pt idx="37">
                  <c:v>2063</c:v>
                </c:pt>
                <c:pt idx="38">
                  <c:v>2064</c:v>
                </c:pt>
                <c:pt idx="39">
                  <c:v>2065</c:v>
                </c:pt>
                <c:pt idx="40">
                  <c:v>2066</c:v>
                </c:pt>
                <c:pt idx="41">
                  <c:v>2067</c:v>
                </c:pt>
                <c:pt idx="42">
                  <c:v>2068</c:v>
                </c:pt>
                <c:pt idx="43">
                  <c:v>2069</c:v>
                </c:pt>
                <c:pt idx="44">
                  <c:v>2070</c:v>
                </c:pt>
                <c:pt idx="45">
                  <c:v>2071</c:v>
                </c:pt>
                <c:pt idx="46">
                  <c:v>2072</c:v>
                </c:pt>
                <c:pt idx="47">
                  <c:v>2073</c:v>
                </c:pt>
                <c:pt idx="48">
                  <c:v>2074</c:v>
                </c:pt>
                <c:pt idx="49">
                  <c:v>2075</c:v>
                </c:pt>
                <c:pt idx="50">
                  <c:v>2076</c:v>
                </c:pt>
                <c:pt idx="51">
                  <c:v>2077</c:v>
                </c:pt>
                <c:pt idx="52">
                  <c:v>2078</c:v>
                </c:pt>
                <c:pt idx="53">
                  <c:v>2079</c:v>
                </c:pt>
                <c:pt idx="54">
                  <c:v>2080</c:v>
                </c:pt>
                <c:pt idx="55">
                  <c:v>2081</c:v>
                </c:pt>
                <c:pt idx="56">
                  <c:v>2082</c:v>
                </c:pt>
                <c:pt idx="57">
                  <c:v>2083</c:v>
                </c:pt>
                <c:pt idx="58">
                  <c:v>2084</c:v>
                </c:pt>
                <c:pt idx="59">
                  <c:v>2085</c:v>
                </c:pt>
                <c:pt idx="60">
                  <c:v>2086</c:v>
                </c:pt>
                <c:pt idx="61">
                  <c:v>2087</c:v>
                </c:pt>
                <c:pt idx="62">
                  <c:v>2088</c:v>
                </c:pt>
              </c:numCache>
            </c:numRef>
          </c:cat>
          <c:val>
            <c:numRef>
              <c:f>Summary!$D$60:$BN$60</c:f>
              <c:numCache>
                <c:formatCode>0.0</c:formatCode>
                <c:ptCount val="63"/>
                <c:pt idx="0">
                  <c:v>0</c:v>
                </c:pt>
                <c:pt idx="1">
                  <c:v>0</c:v>
                </c:pt>
                <c:pt idx="2">
                  <c:v>0</c:v>
                </c:pt>
                <c:pt idx="3">
                  <c:v>0</c:v>
                </c:pt>
                <c:pt idx="4">
                  <c:v>0</c:v>
                </c:pt>
                <c:pt idx="5">
                  <c:v>0</c:v>
                </c:pt>
                <c:pt idx="6">
                  <c:v>0</c:v>
                </c:pt>
                <c:pt idx="7">
                  <c:v>33.869</c:v>
                </c:pt>
                <c:pt idx="8">
                  <c:v>44.828000000000003</c:v>
                </c:pt>
                <c:pt idx="9">
                  <c:v>50.710000000000008</c:v>
                </c:pt>
                <c:pt idx="10">
                  <c:v>112.03200000000001</c:v>
                </c:pt>
                <c:pt idx="11">
                  <c:v>191.83799999999997</c:v>
                </c:pt>
                <c:pt idx="12">
                  <c:v>75.762999999999977</c:v>
                </c:pt>
                <c:pt idx="13">
                  <c:v>34.474000000000046</c:v>
                </c:pt>
                <c:pt idx="14">
                  <c:v>57.519999999999982</c:v>
                </c:pt>
                <c:pt idx="15">
                  <c:v>56.955999999999904</c:v>
                </c:pt>
                <c:pt idx="16">
                  <c:v>22.772000000000048</c:v>
                </c:pt>
                <c:pt idx="17">
                  <c:v>20.301999999999907</c:v>
                </c:pt>
                <c:pt idx="18">
                  <c:v>0</c:v>
                </c:pt>
                <c:pt idx="19">
                  <c:v>24.248000000000047</c:v>
                </c:pt>
                <c:pt idx="20">
                  <c:v>34.618000000000052</c:v>
                </c:pt>
                <c:pt idx="21">
                  <c:v>65.290000000000077</c:v>
                </c:pt>
                <c:pt idx="22">
                  <c:v>35.272999999999911</c:v>
                </c:pt>
                <c:pt idx="23">
                  <c:v>0</c:v>
                </c:pt>
                <c:pt idx="24">
                  <c:v>0</c:v>
                </c:pt>
                <c:pt idx="25">
                  <c:v>34.538000000000011</c:v>
                </c:pt>
                <c:pt idx="26">
                  <c:v>0</c:v>
                </c:pt>
                <c:pt idx="27">
                  <c:v>0</c:v>
                </c:pt>
                <c:pt idx="28">
                  <c:v>309.82099999999991</c:v>
                </c:pt>
                <c:pt idx="29">
                  <c:v>216.89300000000026</c:v>
                </c:pt>
                <c:pt idx="30">
                  <c:v>152.86799999999994</c:v>
                </c:pt>
                <c:pt idx="31">
                  <c:v>326.60000000000014</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numCache>
            </c:numRef>
          </c:val>
          <c:extLst>
            <c:ext xmlns:c16="http://schemas.microsoft.com/office/drawing/2014/chart" uri="{C3380CC4-5D6E-409C-BE32-E72D297353CC}">
              <c16:uniqueId val="{00000001-BDB7-406C-9561-1D7B765CA671}"/>
            </c:ext>
          </c:extLst>
        </c:ser>
        <c:ser>
          <c:idx val="2"/>
          <c:order val="2"/>
          <c:tx>
            <c:strRef>
              <c:f>Summary!$A$61</c:f>
              <c:strCache>
                <c:ptCount val="1"/>
                <c:pt idx="0">
                  <c:v>Reveg</c:v>
                </c:pt>
              </c:strCache>
            </c:strRef>
          </c:tx>
          <c:spPr>
            <a:solidFill>
              <a:schemeClr val="accent3"/>
            </a:solidFill>
            <a:ln w="25400">
              <a:noFill/>
            </a:ln>
            <a:effectLst/>
          </c:spPr>
          <c:invertIfNegative val="0"/>
          <c:trendline>
            <c:spPr>
              <a:ln w="19050" cap="rnd">
                <a:solidFill>
                  <a:schemeClr val="accent3"/>
                </a:solidFill>
                <a:prstDash val="sysDot"/>
              </a:ln>
              <a:effectLst/>
            </c:spPr>
            <c:trendlineType val="movingAvg"/>
            <c:period val="5"/>
            <c:dispRSqr val="0"/>
            <c:dispEq val="0"/>
          </c:trendline>
          <c:cat>
            <c:numRef>
              <c:f>Summary!$D$2:$BN$2</c:f>
              <c:numCache>
                <c:formatCode>General</c:formatCode>
                <c:ptCount val="63"/>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pt idx="30">
                  <c:v>2056</c:v>
                </c:pt>
                <c:pt idx="31">
                  <c:v>2057</c:v>
                </c:pt>
                <c:pt idx="32">
                  <c:v>2058</c:v>
                </c:pt>
                <c:pt idx="33">
                  <c:v>2059</c:v>
                </c:pt>
                <c:pt idx="34">
                  <c:v>2060</c:v>
                </c:pt>
                <c:pt idx="35">
                  <c:v>2061</c:v>
                </c:pt>
                <c:pt idx="36">
                  <c:v>2062</c:v>
                </c:pt>
                <c:pt idx="37">
                  <c:v>2063</c:v>
                </c:pt>
                <c:pt idx="38">
                  <c:v>2064</c:v>
                </c:pt>
                <c:pt idx="39">
                  <c:v>2065</c:v>
                </c:pt>
                <c:pt idx="40">
                  <c:v>2066</c:v>
                </c:pt>
                <c:pt idx="41">
                  <c:v>2067</c:v>
                </c:pt>
                <c:pt idx="42">
                  <c:v>2068</c:v>
                </c:pt>
                <c:pt idx="43">
                  <c:v>2069</c:v>
                </c:pt>
                <c:pt idx="44">
                  <c:v>2070</c:v>
                </c:pt>
                <c:pt idx="45">
                  <c:v>2071</c:v>
                </c:pt>
                <c:pt idx="46">
                  <c:v>2072</c:v>
                </c:pt>
                <c:pt idx="47">
                  <c:v>2073</c:v>
                </c:pt>
                <c:pt idx="48">
                  <c:v>2074</c:v>
                </c:pt>
                <c:pt idx="49">
                  <c:v>2075</c:v>
                </c:pt>
                <c:pt idx="50">
                  <c:v>2076</c:v>
                </c:pt>
                <c:pt idx="51">
                  <c:v>2077</c:v>
                </c:pt>
                <c:pt idx="52">
                  <c:v>2078</c:v>
                </c:pt>
                <c:pt idx="53">
                  <c:v>2079</c:v>
                </c:pt>
                <c:pt idx="54">
                  <c:v>2080</c:v>
                </c:pt>
                <c:pt idx="55">
                  <c:v>2081</c:v>
                </c:pt>
                <c:pt idx="56">
                  <c:v>2082</c:v>
                </c:pt>
                <c:pt idx="57">
                  <c:v>2083</c:v>
                </c:pt>
                <c:pt idx="58">
                  <c:v>2084</c:v>
                </c:pt>
                <c:pt idx="59">
                  <c:v>2085</c:v>
                </c:pt>
                <c:pt idx="60">
                  <c:v>2086</c:v>
                </c:pt>
                <c:pt idx="61">
                  <c:v>2087</c:v>
                </c:pt>
                <c:pt idx="62">
                  <c:v>2088</c:v>
                </c:pt>
              </c:numCache>
            </c:numRef>
          </c:cat>
          <c:val>
            <c:numRef>
              <c:f>Summary!$D$61:$BN$61</c:f>
              <c:numCache>
                <c:formatCode>0.0</c:formatCode>
                <c:ptCount val="63"/>
                <c:pt idx="0">
                  <c:v>0</c:v>
                </c:pt>
                <c:pt idx="1">
                  <c:v>0</c:v>
                </c:pt>
                <c:pt idx="2">
                  <c:v>0</c:v>
                </c:pt>
                <c:pt idx="3">
                  <c:v>0</c:v>
                </c:pt>
                <c:pt idx="4">
                  <c:v>0</c:v>
                </c:pt>
                <c:pt idx="5">
                  <c:v>0</c:v>
                </c:pt>
                <c:pt idx="6">
                  <c:v>0</c:v>
                </c:pt>
                <c:pt idx="7">
                  <c:v>33.869</c:v>
                </c:pt>
                <c:pt idx="8">
                  <c:v>44.828000000000003</c:v>
                </c:pt>
                <c:pt idx="9">
                  <c:v>50.710000000000008</c:v>
                </c:pt>
                <c:pt idx="10">
                  <c:v>112.03200000000001</c:v>
                </c:pt>
                <c:pt idx="11">
                  <c:v>191.83799999999997</c:v>
                </c:pt>
                <c:pt idx="12">
                  <c:v>75.762999999999977</c:v>
                </c:pt>
                <c:pt idx="13">
                  <c:v>34.474000000000046</c:v>
                </c:pt>
                <c:pt idx="14">
                  <c:v>57.519999999999982</c:v>
                </c:pt>
                <c:pt idx="15">
                  <c:v>56.955999999999904</c:v>
                </c:pt>
                <c:pt idx="16">
                  <c:v>22.772000000000048</c:v>
                </c:pt>
                <c:pt idx="17">
                  <c:v>20.301999999999907</c:v>
                </c:pt>
                <c:pt idx="18">
                  <c:v>0</c:v>
                </c:pt>
                <c:pt idx="19">
                  <c:v>24.248000000000047</c:v>
                </c:pt>
                <c:pt idx="20">
                  <c:v>34.618000000000052</c:v>
                </c:pt>
                <c:pt idx="21">
                  <c:v>65.290000000000077</c:v>
                </c:pt>
                <c:pt idx="22">
                  <c:v>35.272999999999911</c:v>
                </c:pt>
                <c:pt idx="23">
                  <c:v>0</c:v>
                </c:pt>
                <c:pt idx="24">
                  <c:v>0</c:v>
                </c:pt>
                <c:pt idx="25">
                  <c:v>34.538000000000011</c:v>
                </c:pt>
                <c:pt idx="26">
                  <c:v>0</c:v>
                </c:pt>
                <c:pt idx="27">
                  <c:v>0</c:v>
                </c:pt>
                <c:pt idx="28">
                  <c:v>309.82099999999991</c:v>
                </c:pt>
                <c:pt idx="29">
                  <c:v>216.89300000000026</c:v>
                </c:pt>
                <c:pt idx="30">
                  <c:v>152.86800000000017</c:v>
                </c:pt>
                <c:pt idx="31">
                  <c:v>326.59999999999991</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numCache>
            </c:numRef>
          </c:val>
          <c:extLst>
            <c:ext xmlns:c16="http://schemas.microsoft.com/office/drawing/2014/chart" uri="{C3380CC4-5D6E-409C-BE32-E72D297353CC}">
              <c16:uniqueId val="{00000002-BDB7-406C-9561-1D7B765CA671}"/>
            </c:ext>
          </c:extLst>
        </c:ser>
        <c:ser>
          <c:idx val="3"/>
          <c:order val="3"/>
          <c:tx>
            <c:strRef>
              <c:f>Summary!$A$62</c:f>
              <c:strCache>
                <c:ptCount val="1"/>
                <c:pt idx="0">
                  <c:v>Certified</c:v>
                </c:pt>
              </c:strCache>
            </c:strRef>
          </c:tx>
          <c:spPr>
            <a:solidFill>
              <a:schemeClr val="accent4"/>
            </a:solidFill>
            <a:ln w="25400">
              <a:noFill/>
            </a:ln>
            <a:effectLst/>
          </c:spPr>
          <c:invertIfNegative val="0"/>
          <c:cat>
            <c:numRef>
              <c:f>Summary!$D$2:$BN$2</c:f>
              <c:numCache>
                <c:formatCode>General</c:formatCode>
                <c:ptCount val="63"/>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pt idx="30">
                  <c:v>2056</c:v>
                </c:pt>
                <c:pt idx="31">
                  <c:v>2057</c:v>
                </c:pt>
                <c:pt idx="32">
                  <c:v>2058</c:v>
                </c:pt>
                <c:pt idx="33">
                  <c:v>2059</c:v>
                </c:pt>
                <c:pt idx="34">
                  <c:v>2060</c:v>
                </c:pt>
                <c:pt idx="35">
                  <c:v>2061</c:v>
                </c:pt>
                <c:pt idx="36">
                  <c:v>2062</c:v>
                </c:pt>
                <c:pt idx="37">
                  <c:v>2063</c:v>
                </c:pt>
                <c:pt idx="38">
                  <c:v>2064</c:v>
                </c:pt>
                <c:pt idx="39">
                  <c:v>2065</c:v>
                </c:pt>
                <c:pt idx="40">
                  <c:v>2066</c:v>
                </c:pt>
                <c:pt idx="41">
                  <c:v>2067</c:v>
                </c:pt>
                <c:pt idx="42">
                  <c:v>2068</c:v>
                </c:pt>
                <c:pt idx="43">
                  <c:v>2069</c:v>
                </c:pt>
                <c:pt idx="44">
                  <c:v>2070</c:v>
                </c:pt>
                <c:pt idx="45">
                  <c:v>2071</c:v>
                </c:pt>
                <c:pt idx="46">
                  <c:v>2072</c:v>
                </c:pt>
                <c:pt idx="47">
                  <c:v>2073</c:v>
                </c:pt>
                <c:pt idx="48">
                  <c:v>2074</c:v>
                </c:pt>
                <c:pt idx="49">
                  <c:v>2075</c:v>
                </c:pt>
                <c:pt idx="50">
                  <c:v>2076</c:v>
                </c:pt>
                <c:pt idx="51">
                  <c:v>2077</c:v>
                </c:pt>
                <c:pt idx="52">
                  <c:v>2078</c:v>
                </c:pt>
                <c:pt idx="53">
                  <c:v>2079</c:v>
                </c:pt>
                <c:pt idx="54">
                  <c:v>2080</c:v>
                </c:pt>
                <c:pt idx="55">
                  <c:v>2081</c:v>
                </c:pt>
                <c:pt idx="56">
                  <c:v>2082</c:v>
                </c:pt>
                <c:pt idx="57">
                  <c:v>2083</c:v>
                </c:pt>
                <c:pt idx="58">
                  <c:v>2084</c:v>
                </c:pt>
                <c:pt idx="59">
                  <c:v>2085</c:v>
                </c:pt>
                <c:pt idx="60">
                  <c:v>2086</c:v>
                </c:pt>
                <c:pt idx="61">
                  <c:v>2087</c:v>
                </c:pt>
                <c:pt idx="62">
                  <c:v>2088</c:v>
                </c:pt>
              </c:numCache>
            </c:numRef>
          </c:cat>
          <c:val>
            <c:numRef>
              <c:f>Summary!$D$62:$BN$62</c:f>
              <c:numCache>
                <c:formatCode>0.0</c:formatCode>
                <c:ptCount val="6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171.56</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numCache>
            </c:numRef>
          </c:val>
          <c:extLst>
            <c:ext xmlns:c16="http://schemas.microsoft.com/office/drawing/2014/chart" uri="{C3380CC4-5D6E-409C-BE32-E72D297353CC}">
              <c16:uniqueId val="{00000003-BDB7-406C-9561-1D7B765CA671}"/>
            </c:ext>
          </c:extLst>
        </c:ser>
        <c:dLbls>
          <c:showLegendKey val="0"/>
          <c:showVal val="0"/>
          <c:showCatName val="0"/>
          <c:showSerName val="0"/>
          <c:showPercent val="0"/>
          <c:showBubbleSize val="0"/>
        </c:dLbls>
        <c:gapWidth val="150"/>
        <c:axId val="408736776"/>
        <c:axId val="408736448"/>
      </c:barChart>
      <c:catAx>
        <c:axId val="40873677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8736448"/>
        <c:crosses val="autoZero"/>
        <c:auto val="1"/>
        <c:lblAlgn val="ctr"/>
        <c:lblOffset val="100"/>
        <c:noMultiLvlLbl val="0"/>
      </c:catAx>
      <c:valAx>
        <c:axId val="40873644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87367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Annual Status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1"/>
          <c:order val="0"/>
          <c:tx>
            <c:strRef>
              <c:f>Summary!$A$52</c:f>
              <c:strCache>
                <c:ptCount val="1"/>
                <c:pt idx="0">
                  <c:v>Regraded</c:v>
                </c:pt>
              </c:strCache>
            </c:strRef>
          </c:tx>
          <c:spPr>
            <a:solidFill>
              <a:schemeClr val="accent2"/>
            </a:solidFill>
            <a:ln>
              <a:noFill/>
            </a:ln>
            <a:effectLst/>
          </c:spPr>
          <c:cat>
            <c:numRef>
              <c:f>Summary!$D$2:$BN$2</c:f>
              <c:numCache>
                <c:formatCode>General</c:formatCode>
                <c:ptCount val="63"/>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pt idx="30">
                  <c:v>2056</c:v>
                </c:pt>
                <c:pt idx="31">
                  <c:v>2057</c:v>
                </c:pt>
                <c:pt idx="32">
                  <c:v>2058</c:v>
                </c:pt>
                <c:pt idx="33">
                  <c:v>2059</c:v>
                </c:pt>
                <c:pt idx="34">
                  <c:v>2060</c:v>
                </c:pt>
                <c:pt idx="35">
                  <c:v>2061</c:v>
                </c:pt>
                <c:pt idx="36">
                  <c:v>2062</c:v>
                </c:pt>
                <c:pt idx="37">
                  <c:v>2063</c:v>
                </c:pt>
                <c:pt idx="38">
                  <c:v>2064</c:v>
                </c:pt>
                <c:pt idx="39">
                  <c:v>2065</c:v>
                </c:pt>
                <c:pt idx="40">
                  <c:v>2066</c:v>
                </c:pt>
                <c:pt idx="41">
                  <c:v>2067</c:v>
                </c:pt>
                <c:pt idx="42">
                  <c:v>2068</c:v>
                </c:pt>
                <c:pt idx="43">
                  <c:v>2069</c:v>
                </c:pt>
                <c:pt idx="44">
                  <c:v>2070</c:v>
                </c:pt>
                <c:pt idx="45">
                  <c:v>2071</c:v>
                </c:pt>
                <c:pt idx="46">
                  <c:v>2072</c:v>
                </c:pt>
                <c:pt idx="47">
                  <c:v>2073</c:v>
                </c:pt>
                <c:pt idx="48">
                  <c:v>2074</c:v>
                </c:pt>
                <c:pt idx="49">
                  <c:v>2075</c:v>
                </c:pt>
                <c:pt idx="50">
                  <c:v>2076</c:v>
                </c:pt>
                <c:pt idx="51">
                  <c:v>2077</c:v>
                </c:pt>
                <c:pt idx="52">
                  <c:v>2078</c:v>
                </c:pt>
                <c:pt idx="53">
                  <c:v>2079</c:v>
                </c:pt>
                <c:pt idx="54">
                  <c:v>2080</c:v>
                </c:pt>
                <c:pt idx="55">
                  <c:v>2081</c:v>
                </c:pt>
                <c:pt idx="56">
                  <c:v>2082</c:v>
                </c:pt>
                <c:pt idx="57">
                  <c:v>2083</c:v>
                </c:pt>
                <c:pt idx="58">
                  <c:v>2084</c:v>
                </c:pt>
                <c:pt idx="59">
                  <c:v>2085</c:v>
                </c:pt>
                <c:pt idx="60">
                  <c:v>2086</c:v>
                </c:pt>
                <c:pt idx="61">
                  <c:v>2087</c:v>
                </c:pt>
                <c:pt idx="62">
                  <c:v>2088</c:v>
                </c:pt>
              </c:numCache>
            </c:numRef>
          </c:cat>
          <c:val>
            <c:numRef>
              <c:f>Summary!$D$52:$BN$52</c:f>
              <c:numCache>
                <c:formatCode>0.0</c:formatCode>
                <c:ptCount val="6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numCache>
            </c:numRef>
          </c:val>
          <c:extLst>
            <c:ext xmlns:c16="http://schemas.microsoft.com/office/drawing/2014/chart" uri="{C3380CC4-5D6E-409C-BE32-E72D297353CC}">
              <c16:uniqueId val="{00000001-BDB7-406C-9561-1D7B765CA671}"/>
            </c:ext>
          </c:extLst>
        </c:ser>
        <c:ser>
          <c:idx val="2"/>
          <c:order val="1"/>
          <c:tx>
            <c:strRef>
              <c:f>Summary!$A$53</c:f>
              <c:strCache>
                <c:ptCount val="1"/>
                <c:pt idx="0">
                  <c:v>Topsoiled</c:v>
                </c:pt>
              </c:strCache>
            </c:strRef>
          </c:tx>
          <c:spPr>
            <a:solidFill>
              <a:schemeClr val="accent3"/>
            </a:solidFill>
            <a:ln>
              <a:noFill/>
            </a:ln>
            <a:effectLst/>
          </c:spPr>
          <c:cat>
            <c:numRef>
              <c:f>Summary!$D$2:$BN$2</c:f>
              <c:numCache>
                <c:formatCode>General</c:formatCode>
                <c:ptCount val="63"/>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pt idx="30">
                  <c:v>2056</c:v>
                </c:pt>
                <c:pt idx="31">
                  <c:v>2057</c:v>
                </c:pt>
                <c:pt idx="32">
                  <c:v>2058</c:v>
                </c:pt>
                <c:pt idx="33">
                  <c:v>2059</c:v>
                </c:pt>
                <c:pt idx="34">
                  <c:v>2060</c:v>
                </c:pt>
                <c:pt idx="35">
                  <c:v>2061</c:v>
                </c:pt>
                <c:pt idx="36">
                  <c:v>2062</c:v>
                </c:pt>
                <c:pt idx="37">
                  <c:v>2063</c:v>
                </c:pt>
                <c:pt idx="38">
                  <c:v>2064</c:v>
                </c:pt>
                <c:pt idx="39">
                  <c:v>2065</c:v>
                </c:pt>
                <c:pt idx="40">
                  <c:v>2066</c:v>
                </c:pt>
                <c:pt idx="41">
                  <c:v>2067</c:v>
                </c:pt>
                <c:pt idx="42">
                  <c:v>2068</c:v>
                </c:pt>
                <c:pt idx="43">
                  <c:v>2069</c:v>
                </c:pt>
                <c:pt idx="44">
                  <c:v>2070</c:v>
                </c:pt>
                <c:pt idx="45">
                  <c:v>2071</c:v>
                </c:pt>
                <c:pt idx="46">
                  <c:v>2072</c:v>
                </c:pt>
                <c:pt idx="47">
                  <c:v>2073</c:v>
                </c:pt>
                <c:pt idx="48">
                  <c:v>2074</c:v>
                </c:pt>
                <c:pt idx="49">
                  <c:v>2075</c:v>
                </c:pt>
                <c:pt idx="50">
                  <c:v>2076</c:v>
                </c:pt>
                <c:pt idx="51">
                  <c:v>2077</c:v>
                </c:pt>
                <c:pt idx="52">
                  <c:v>2078</c:v>
                </c:pt>
                <c:pt idx="53">
                  <c:v>2079</c:v>
                </c:pt>
                <c:pt idx="54">
                  <c:v>2080</c:v>
                </c:pt>
                <c:pt idx="55">
                  <c:v>2081</c:v>
                </c:pt>
                <c:pt idx="56">
                  <c:v>2082</c:v>
                </c:pt>
                <c:pt idx="57">
                  <c:v>2083</c:v>
                </c:pt>
                <c:pt idx="58">
                  <c:v>2084</c:v>
                </c:pt>
                <c:pt idx="59">
                  <c:v>2085</c:v>
                </c:pt>
                <c:pt idx="60">
                  <c:v>2086</c:v>
                </c:pt>
                <c:pt idx="61">
                  <c:v>2087</c:v>
                </c:pt>
                <c:pt idx="62">
                  <c:v>2088</c:v>
                </c:pt>
              </c:numCache>
            </c:numRef>
          </c:cat>
          <c:val>
            <c:numRef>
              <c:f>Summary!$D$53:$BN$53</c:f>
              <c:numCache>
                <c:formatCode>0.0</c:formatCode>
                <c:ptCount val="6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numCache>
            </c:numRef>
          </c:val>
          <c:extLst>
            <c:ext xmlns:c16="http://schemas.microsoft.com/office/drawing/2014/chart" uri="{C3380CC4-5D6E-409C-BE32-E72D297353CC}">
              <c16:uniqueId val="{00000002-BDB7-406C-9561-1D7B765CA671}"/>
            </c:ext>
          </c:extLst>
        </c:ser>
        <c:ser>
          <c:idx val="3"/>
          <c:order val="2"/>
          <c:tx>
            <c:strRef>
              <c:f>Summary!$A$54</c:f>
              <c:strCache>
                <c:ptCount val="1"/>
                <c:pt idx="0">
                  <c:v>Reveg</c:v>
                </c:pt>
              </c:strCache>
            </c:strRef>
          </c:tx>
          <c:spPr>
            <a:solidFill>
              <a:schemeClr val="accent4"/>
            </a:solidFill>
            <a:ln>
              <a:noFill/>
            </a:ln>
            <a:effectLst/>
          </c:spPr>
          <c:cat>
            <c:numRef>
              <c:f>Summary!$D$2:$BN$2</c:f>
              <c:numCache>
                <c:formatCode>General</c:formatCode>
                <c:ptCount val="63"/>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pt idx="30">
                  <c:v>2056</c:v>
                </c:pt>
                <c:pt idx="31">
                  <c:v>2057</c:v>
                </c:pt>
                <c:pt idx="32">
                  <c:v>2058</c:v>
                </c:pt>
                <c:pt idx="33">
                  <c:v>2059</c:v>
                </c:pt>
                <c:pt idx="34">
                  <c:v>2060</c:v>
                </c:pt>
                <c:pt idx="35">
                  <c:v>2061</c:v>
                </c:pt>
                <c:pt idx="36">
                  <c:v>2062</c:v>
                </c:pt>
                <c:pt idx="37">
                  <c:v>2063</c:v>
                </c:pt>
                <c:pt idx="38">
                  <c:v>2064</c:v>
                </c:pt>
                <c:pt idx="39">
                  <c:v>2065</c:v>
                </c:pt>
                <c:pt idx="40">
                  <c:v>2066</c:v>
                </c:pt>
                <c:pt idx="41">
                  <c:v>2067</c:v>
                </c:pt>
                <c:pt idx="42">
                  <c:v>2068</c:v>
                </c:pt>
                <c:pt idx="43">
                  <c:v>2069</c:v>
                </c:pt>
                <c:pt idx="44">
                  <c:v>2070</c:v>
                </c:pt>
                <c:pt idx="45">
                  <c:v>2071</c:v>
                </c:pt>
                <c:pt idx="46">
                  <c:v>2072</c:v>
                </c:pt>
                <c:pt idx="47">
                  <c:v>2073</c:v>
                </c:pt>
                <c:pt idx="48">
                  <c:v>2074</c:v>
                </c:pt>
                <c:pt idx="49">
                  <c:v>2075</c:v>
                </c:pt>
                <c:pt idx="50">
                  <c:v>2076</c:v>
                </c:pt>
                <c:pt idx="51">
                  <c:v>2077</c:v>
                </c:pt>
                <c:pt idx="52">
                  <c:v>2078</c:v>
                </c:pt>
                <c:pt idx="53">
                  <c:v>2079</c:v>
                </c:pt>
                <c:pt idx="54">
                  <c:v>2080</c:v>
                </c:pt>
                <c:pt idx="55">
                  <c:v>2081</c:v>
                </c:pt>
                <c:pt idx="56">
                  <c:v>2082</c:v>
                </c:pt>
                <c:pt idx="57">
                  <c:v>2083</c:v>
                </c:pt>
                <c:pt idx="58">
                  <c:v>2084</c:v>
                </c:pt>
                <c:pt idx="59">
                  <c:v>2085</c:v>
                </c:pt>
                <c:pt idx="60">
                  <c:v>2086</c:v>
                </c:pt>
                <c:pt idx="61">
                  <c:v>2087</c:v>
                </c:pt>
                <c:pt idx="62">
                  <c:v>2088</c:v>
                </c:pt>
              </c:numCache>
            </c:numRef>
          </c:cat>
          <c:val>
            <c:numRef>
              <c:f>Summary!$D$54:$BN$54</c:f>
              <c:numCache>
                <c:formatCode>0.0</c:formatCode>
                <c:ptCount val="63"/>
                <c:pt idx="0">
                  <c:v>0</c:v>
                </c:pt>
                <c:pt idx="1">
                  <c:v>0</c:v>
                </c:pt>
                <c:pt idx="2">
                  <c:v>0</c:v>
                </c:pt>
                <c:pt idx="3">
                  <c:v>0</c:v>
                </c:pt>
                <c:pt idx="4">
                  <c:v>0</c:v>
                </c:pt>
                <c:pt idx="5">
                  <c:v>0</c:v>
                </c:pt>
                <c:pt idx="6">
                  <c:v>0</c:v>
                </c:pt>
                <c:pt idx="7">
                  <c:v>33.869</c:v>
                </c:pt>
                <c:pt idx="8">
                  <c:v>78.697000000000003</c:v>
                </c:pt>
                <c:pt idx="9">
                  <c:v>129.40700000000001</c:v>
                </c:pt>
                <c:pt idx="10">
                  <c:v>241.43900000000002</c:v>
                </c:pt>
                <c:pt idx="11">
                  <c:v>433.27699999999999</c:v>
                </c:pt>
                <c:pt idx="12">
                  <c:v>509.03999999999996</c:v>
                </c:pt>
                <c:pt idx="13">
                  <c:v>543.51400000000001</c:v>
                </c:pt>
                <c:pt idx="14">
                  <c:v>601.03399999999999</c:v>
                </c:pt>
                <c:pt idx="15">
                  <c:v>657.9899999999999</c:v>
                </c:pt>
                <c:pt idx="16">
                  <c:v>680.76199999999994</c:v>
                </c:pt>
                <c:pt idx="17">
                  <c:v>701.06399999999985</c:v>
                </c:pt>
                <c:pt idx="18">
                  <c:v>701.06399999999985</c:v>
                </c:pt>
                <c:pt idx="19">
                  <c:v>725.3119999999999</c:v>
                </c:pt>
                <c:pt idx="20">
                  <c:v>759.93</c:v>
                </c:pt>
                <c:pt idx="21">
                  <c:v>825.22</c:v>
                </c:pt>
                <c:pt idx="22">
                  <c:v>860.49299999999994</c:v>
                </c:pt>
                <c:pt idx="23">
                  <c:v>860.49299999999994</c:v>
                </c:pt>
                <c:pt idx="24">
                  <c:v>860.49299999999994</c:v>
                </c:pt>
                <c:pt idx="25">
                  <c:v>895.03099999999995</c:v>
                </c:pt>
                <c:pt idx="26">
                  <c:v>895.03099999999995</c:v>
                </c:pt>
                <c:pt idx="27">
                  <c:v>1066.5909999999999</c:v>
                </c:pt>
                <c:pt idx="28">
                  <c:v>1376.4119999999998</c:v>
                </c:pt>
                <c:pt idx="29">
                  <c:v>1421.7450000000001</c:v>
                </c:pt>
                <c:pt idx="30">
                  <c:v>1534.6130000000003</c:v>
                </c:pt>
                <c:pt idx="31">
                  <c:v>1547.2130000000002</c:v>
                </c:pt>
                <c:pt idx="32">
                  <c:v>1547.2130000000002</c:v>
                </c:pt>
                <c:pt idx="33">
                  <c:v>1547.2130000000002</c:v>
                </c:pt>
                <c:pt idx="34">
                  <c:v>1547.2130000000002</c:v>
                </c:pt>
                <c:pt idx="35">
                  <c:v>1405.2130000000002</c:v>
                </c:pt>
                <c:pt idx="36">
                  <c:v>1405.2130000000002</c:v>
                </c:pt>
                <c:pt idx="37">
                  <c:v>1405.2130000000002</c:v>
                </c:pt>
                <c:pt idx="38">
                  <c:v>1381.2130000000002</c:v>
                </c:pt>
                <c:pt idx="39">
                  <c:v>727.21300000000019</c:v>
                </c:pt>
                <c:pt idx="40">
                  <c:v>699.21000000000026</c:v>
                </c:pt>
                <c:pt idx="41">
                  <c:v>540.31000000000017</c:v>
                </c:pt>
                <c:pt idx="42">
                  <c:v>540.31000000000017</c:v>
                </c:pt>
                <c:pt idx="43">
                  <c:v>540.31000000000017</c:v>
                </c:pt>
                <c:pt idx="44">
                  <c:v>540.31000000000017</c:v>
                </c:pt>
                <c:pt idx="45">
                  <c:v>506.31000000000023</c:v>
                </c:pt>
                <c:pt idx="46">
                  <c:v>506.31000000000023</c:v>
                </c:pt>
                <c:pt idx="47">
                  <c:v>506.31000000000023</c:v>
                </c:pt>
                <c:pt idx="48">
                  <c:v>327.21000000000009</c:v>
                </c:pt>
                <c:pt idx="49">
                  <c:v>327.21000000000009</c:v>
                </c:pt>
                <c:pt idx="50">
                  <c:v>-8.9999999999633928E-2</c:v>
                </c:pt>
                <c:pt idx="51">
                  <c:v>-8.9999999999633928E-2</c:v>
                </c:pt>
                <c:pt idx="52">
                  <c:v>-8.9999999999633928E-2</c:v>
                </c:pt>
                <c:pt idx="53">
                  <c:v>-8.9999999999633928E-2</c:v>
                </c:pt>
                <c:pt idx="54">
                  <c:v>-8.9999999999633928E-2</c:v>
                </c:pt>
                <c:pt idx="55">
                  <c:v>-8.9999999999633928E-2</c:v>
                </c:pt>
                <c:pt idx="56">
                  <c:v>-8.9999999999633928E-2</c:v>
                </c:pt>
                <c:pt idx="57">
                  <c:v>-8.9999999999633928E-2</c:v>
                </c:pt>
                <c:pt idx="58">
                  <c:v>-8.9999999999633928E-2</c:v>
                </c:pt>
                <c:pt idx="59">
                  <c:v>-8.9999999999633928E-2</c:v>
                </c:pt>
                <c:pt idx="60">
                  <c:v>-8.9999999999633928E-2</c:v>
                </c:pt>
                <c:pt idx="61">
                  <c:v>-8.9999999999633928E-2</c:v>
                </c:pt>
                <c:pt idx="62">
                  <c:v>-8.9999999999633928E-2</c:v>
                </c:pt>
              </c:numCache>
            </c:numRef>
          </c:val>
          <c:extLst>
            <c:ext xmlns:c16="http://schemas.microsoft.com/office/drawing/2014/chart" uri="{C3380CC4-5D6E-409C-BE32-E72D297353CC}">
              <c16:uniqueId val="{00000003-BDB7-406C-9561-1D7B765CA671}"/>
            </c:ext>
          </c:extLst>
        </c:ser>
        <c:ser>
          <c:idx val="4"/>
          <c:order val="3"/>
          <c:tx>
            <c:strRef>
              <c:f>Summary!$A$55</c:f>
              <c:strCache>
                <c:ptCount val="1"/>
                <c:pt idx="0">
                  <c:v>Certified</c:v>
                </c:pt>
              </c:strCache>
            </c:strRef>
          </c:tx>
          <c:spPr>
            <a:solidFill>
              <a:schemeClr val="accent5"/>
            </a:solidFill>
            <a:ln>
              <a:noFill/>
            </a:ln>
            <a:effectLst/>
          </c:spPr>
          <c:cat>
            <c:numRef>
              <c:f>Summary!$D$2:$BN$2</c:f>
              <c:numCache>
                <c:formatCode>General</c:formatCode>
                <c:ptCount val="63"/>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pt idx="30">
                  <c:v>2056</c:v>
                </c:pt>
                <c:pt idx="31">
                  <c:v>2057</c:v>
                </c:pt>
                <c:pt idx="32">
                  <c:v>2058</c:v>
                </c:pt>
                <c:pt idx="33">
                  <c:v>2059</c:v>
                </c:pt>
                <c:pt idx="34">
                  <c:v>2060</c:v>
                </c:pt>
                <c:pt idx="35">
                  <c:v>2061</c:v>
                </c:pt>
                <c:pt idx="36">
                  <c:v>2062</c:v>
                </c:pt>
                <c:pt idx="37">
                  <c:v>2063</c:v>
                </c:pt>
                <c:pt idx="38">
                  <c:v>2064</c:v>
                </c:pt>
                <c:pt idx="39">
                  <c:v>2065</c:v>
                </c:pt>
                <c:pt idx="40">
                  <c:v>2066</c:v>
                </c:pt>
                <c:pt idx="41">
                  <c:v>2067</c:v>
                </c:pt>
                <c:pt idx="42">
                  <c:v>2068</c:v>
                </c:pt>
                <c:pt idx="43">
                  <c:v>2069</c:v>
                </c:pt>
                <c:pt idx="44">
                  <c:v>2070</c:v>
                </c:pt>
                <c:pt idx="45">
                  <c:v>2071</c:v>
                </c:pt>
                <c:pt idx="46">
                  <c:v>2072</c:v>
                </c:pt>
                <c:pt idx="47">
                  <c:v>2073</c:v>
                </c:pt>
                <c:pt idx="48">
                  <c:v>2074</c:v>
                </c:pt>
                <c:pt idx="49">
                  <c:v>2075</c:v>
                </c:pt>
                <c:pt idx="50">
                  <c:v>2076</c:v>
                </c:pt>
                <c:pt idx="51">
                  <c:v>2077</c:v>
                </c:pt>
                <c:pt idx="52">
                  <c:v>2078</c:v>
                </c:pt>
                <c:pt idx="53">
                  <c:v>2079</c:v>
                </c:pt>
                <c:pt idx="54">
                  <c:v>2080</c:v>
                </c:pt>
                <c:pt idx="55">
                  <c:v>2081</c:v>
                </c:pt>
                <c:pt idx="56">
                  <c:v>2082</c:v>
                </c:pt>
                <c:pt idx="57">
                  <c:v>2083</c:v>
                </c:pt>
                <c:pt idx="58">
                  <c:v>2084</c:v>
                </c:pt>
                <c:pt idx="59">
                  <c:v>2085</c:v>
                </c:pt>
                <c:pt idx="60">
                  <c:v>2086</c:v>
                </c:pt>
                <c:pt idx="61">
                  <c:v>2087</c:v>
                </c:pt>
                <c:pt idx="62">
                  <c:v>2088</c:v>
                </c:pt>
              </c:numCache>
            </c:numRef>
          </c:cat>
          <c:val>
            <c:numRef>
              <c:f>Summary!$D$55:$BN$55</c:f>
              <c:numCache>
                <c:formatCode>0.0</c:formatCode>
                <c:ptCount val="6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171.56</c:v>
                </c:pt>
                <c:pt idx="30">
                  <c:v>211.56</c:v>
                </c:pt>
                <c:pt idx="31">
                  <c:v>525.55999999999995</c:v>
                </c:pt>
                <c:pt idx="32">
                  <c:v>525.55999999999995</c:v>
                </c:pt>
                <c:pt idx="33">
                  <c:v>525.55999999999995</c:v>
                </c:pt>
                <c:pt idx="34">
                  <c:v>525.55999999999995</c:v>
                </c:pt>
                <c:pt idx="35">
                  <c:v>667.56</c:v>
                </c:pt>
                <c:pt idx="36">
                  <c:v>667.56</c:v>
                </c:pt>
                <c:pt idx="37">
                  <c:v>667.56</c:v>
                </c:pt>
                <c:pt idx="38">
                  <c:v>691.56</c:v>
                </c:pt>
                <c:pt idx="39">
                  <c:v>1345.56</c:v>
                </c:pt>
                <c:pt idx="40">
                  <c:v>1373.5629999999999</c:v>
                </c:pt>
                <c:pt idx="41">
                  <c:v>1532.463</c:v>
                </c:pt>
                <c:pt idx="42">
                  <c:v>1532.463</c:v>
                </c:pt>
                <c:pt idx="43">
                  <c:v>1532.463</c:v>
                </c:pt>
                <c:pt idx="44">
                  <c:v>1532.463</c:v>
                </c:pt>
                <c:pt idx="45">
                  <c:v>1566.463</c:v>
                </c:pt>
                <c:pt idx="46">
                  <c:v>1566.463</c:v>
                </c:pt>
                <c:pt idx="47">
                  <c:v>1566.463</c:v>
                </c:pt>
                <c:pt idx="48">
                  <c:v>1745.5630000000001</c:v>
                </c:pt>
                <c:pt idx="49">
                  <c:v>1745.5630000000001</c:v>
                </c:pt>
                <c:pt idx="50">
                  <c:v>2072.8629999999998</c:v>
                </c:pt>
                <c:pt idx="51">
                  <c:v>2072.8629999999998</c:v>
                </c:pt>
                <c:pt idx="52">
                  <c:v>2072.8629999999998</c:v>
                </c:pt>
                <c:pt idx="53">
                  <c:v>2072.8629999999998</c:v>
                </c:pt>
                <c:pt idx="54">
                  <c:v>2072.8629999999998</c:v>
                </c:pt>
                <c:pt idx="55">
                  <c:v>2072.8629999999998</c:v>
                </c:pt>
                <c:pt idx="56">
                  <c:v>2072.8629999999998</c:v>
                </c:pt>
                <c:pt idx="57">
                  <c:v>2072.8629999999998</c:v>
                </c:pt>
                <c:pt idx="58">
                  <c:v>2072.8629999999998</c:v>
                </c:pt>
                <c:pt idx="59">
                  <c:v>2072.8629999999998</c:v>
                </c:pt>
                <c:pt idx="60">
                  <c:v>2072.8629999999998</c:v>
                </c:pt>
                <c:pt idx="61">
                  <c:v>2072.8629999999998</c:v>
                </c:pt>
                <c:pt idx="62">
                  <c:v>2072.8629999999998</c:v>
                </c:pt>
              </c:numCache>
            </c:numRef>
          </c:val>
          <c:extLst>
            <c:ext xmlns:c16="http://schemas.microsoft.com/office/drawing/2014/chart" uri="{C3380CC4-5D6E-409C-BE32-E72D297353CC}">
              <c16:uniqueId val="{00000004-BDB7-406C-9561-1D7B765CA671}"/>
            </c:ext>
          </c:extLst>
        </c:ser>
        <c:ser>
          <c:idx val="0"/>
          <c:order val="4"/>
          <c:tx>
            <c:strRef>
              <c:f>Summary!$A$51</c:f>
              <c:strCache>
                <c:ptCount val="1"/>
                <c:pt idx="0">
                  <c:v>Available</c:v>
                </c:pt>
              </c:strCache>
            </c:strRef>
          </c:tx>
          <c:spPr>
            <a:solidFill>
              <a:srgbClr val="00B050"/>
            </a:solidFill>
            <a:ln w="25400">
              <a:noFill/>
            </a:ln>
            <a:effectLst/>
          </c:spPr>
          <c:cat>
            <c:numRef>
              <c:f>Summary!$D$2:$BN$2</c:f>
              <c:numCache>
                <c:formatCode>General</c:formatCode>
                <c:ptCount val="63"/>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pt idx="30">
                  <c:v>2056</c:v>
                </c:pt>
                <c:pt idx="31">
                  <c:v>2057</c:v>
                </c:pt>
                <c:pt idx="32">
                  <c:v>2058</c:v>
                </c:pt>
                <c:pt idx="33">
                  <c:v>2059</c:v>
                </c:pt>
                <c:pt idx="34">
                  <c:v>2060</c:v>
                </c:pt>
                <c:pt idx="35">
                  <c:v>2061</c:v>
                </c:pt>
                <c:pt idx="36">
                  <c:v>2062</c:v>
                </c:pt>
                <c:pt idx="37">
                  <c:v>2063</c:v>
                </c:pt>
                <c:pt idx="38">
                  <c:v>2064</c:v>
                </c:pt>
                <c:pt idx="39">
                  <c:v>2065</c:v>
                </c:pt>
                <c:pt idx="40">
                  <c:v>2066</c:v>
                </c:pt>
                <c:pt idx="41">
                  <c:v>2067</c:v>
                </c:pt>
                <c:pt idx="42">
                  <c:v>2068</c:v>
                </c:pt>
                <c:pt idx="43">
                  <c:v>2069</c:v>
                </c:pt>
                <c:pt idx="44">
                  <c:v>2070</c:v>
                </c:pt>
                <c:pt idx="45">
                  <c:v>2071</c:v>
                </c:pt>
                <c:pt idx="46">
                  <c:v>2072</c:v>
                </c:pt>
                <c:pt idx="47">
                  <c:v>2073</c:v>
                </c:pt>
                <c:pt idx="48">
                  <c:v>2074</c:v>
                </c:pt>
                <c:pt idx="49">
                  <c:v>2075</c:v>
                </c:pt>
                <c:pt idx="50">
                  <c:v>2076</c:v>
                </c:pt>
                <c:pt idx="51">
                  <c:v>2077</c:v>
                </c:pt>
                <c:pt idx="52">
                  <c:v>2078</c:v>
                </c:pt>
                <c:pt idx="53">
                  <c:v>2079</c:v>
                </c:pt>
                <c:pt idx="54">
                  <c:v>2080</c:v>
                </c:pt>
                <c:pt idx="55">
                  <c:v>2081</c:v>
                </c:pt>
                <c:pt idx="56">
                  <c:v>2082</c:v>
                </c:pt>
                <c:pt idx="57">
                  <c:v>2083</c:v>
                </c:pt>
                <c:pt idx="58">
                  <c:v>2084</c:v>
                </c:pt>
                <c:pt idx="59">
                  <c:v>2085</c:v>
                </c:pt>
                <c:pt idx="60">
                  <c:v>2086</c:v>
                </c:pt>
                <c:pt idx="61">
                  <c:v>2087</c:v>
                </c:pt>
                <c:pt idx="62">
                  <c:v>2088</c:v>
                </c:pt>
              </c:numCache>
            </c:numRef>
          </c:cat>
          <c:val>
            <c:numRef>
              <c:f>Summary!$D$51:$BN$51</c:f>
              <c:numCache>
                <c:formatCode>0.0</c:formatCode>
                <c:ptCount val="63"/>
                <c:pt idx="0">
                  <c:v>0</c:v>
                </c:pt>
                <c:pt idx="1">
                  <c:v>0</c:v>
                </c:pt>
                <c:pt idx="2">
                  <c:v>33.869</c:v>
                </c:pt>
                <c:pt idx="3">
                  <c:v>78.697000000000003</c:v>
                </c:pt>
                <c:pt idx="4">
                  <c:v>129.40700000000001</c:v>
                </c:pt>
                <c:pt idx="5">
                  <c:v>241.43900000000002</c:v>
                </c:pt>
                <c:pt idx="6">
                  <c:v>433.27699999999999</c:v>
                </c:pt>
                <c:pt idx="7">
                  <c:v>475.17099999999994</c:v>
                </c:pt>
                <c:pt idx="8">
                  <c:v>464.81700000000001</c:v>
                </c:pt>
                <c:pt idx="9">
                  <c:v>471.62699999999995</c:v>
                </c:pt>
                <c:pt idx="10">
                  <c:v>416.55099999999987</c:v>
                </c:pt>
                <c:pt idx="11">
                  <c:v>247.48499999999996</c:v>
                </c:pt>
                <c:pt idx="12">
                  <c:v>192.02399999999989</c:v>
                </c:pt>
                <c:pt idx="13">
                  <c:v>157.54999999999984</c:v>
                </c:pt>
                <c:pt idx="14">
                  <c:v>124.27799999999991</c:v>
                </c:pt>
                <c:pt idx="15">
                  <c:v>101.94000000000005</c:v>
                </c:pt>
                <c:pt idx="16">
                  <c:v>144.45800000000008</c:v>
                </c:pt>
                <c:pt idx="17">
                  <c:v>159.42900000000009</c:v>
                </c:pt>
                <c:pt idx="18">
                  <c:v>159.42900000000009</c:v>
                </c:pt>
                <c:pt idx="19">
                  <c:v>135.18100000000004</c:v>
                </c:pt>
                <c:pt idx="20">
                  <c:v>100.56299999999999</c:v>
                </c:pt>
                <c:pt idx="21">
                  <c:v>142.80099999999993</c:v>
                </c:pt>
                <c:pt idx="22">
                  <c:v>279.08799999999997</c:v>
                </c:pt>
                <c:pt idx="23">
                  <c:v>689.30399999999986</c:v>
                </c:pt>
                <c:pt idx="24">
                  <c:v>721.99700000000007</c:v>
                </c:pt>
                <c:pt idx="25">
                  <c:v>1085.1799999999998</c:v>
                </c:pt>
                <c:pt idx="26">
                  <c:v>1177.6799999999998</c:v>
                </c:pt>
                <c:pt idx="27">
                  <c:v>1006.1199999999999</c:v>
                </c:pt>
                <c:pt idx="28">
                  <c:v>696.29899999999998</c:v>
                </c:pt>
                <c:pt idx="29">
                  <c:v>479.40599999999966</c:v>
                </c:pt>
                <c:pt idx="30">
                  <c:v>326.53799999999973</c:v>
                </c:pt>
                <c:pt idx="31">
                  <c:v>-6.2000000000409727E-2</c:v>
                </c:pt>
                <c:pt idx="32">
                  <c:v>-6.2000000000409727E-2</c:v>
                </c:pt>
                <c:pt idx="33">
                  <c:v>-6.2000000000409727E-2</c:v>
                </c:pt>
                <c:pt idx="34">
                  <c:v>-6.2000000000409727E-2</c:v>
                </c:pt>
                <c:pt idx="35">
                  <c:v>-6.2000000000409727E-2</c:v>
                </c:pt>
                <c:pt idx="36">
                  <c:v>-6.2000000000409727E-2</c:v>
                </c:pt>
                <c:pt idx="37">
                  <c:v>-6.2000000000409727E-2</c:v>
                </c:pt>
                <c:pt idx="38">
                  <c:v>-6.2000000000409727E-2</c:v>
                </c:pt>
                <c:pt idx="39">
                  <c:v>-6.2000000000409727E-2</c:v>
                </c:pt>
                <c:pt idx="40">
                  <c:v>-6.2000000000409727E-2</c:v>
                </c:pt>
                <c:pt idx="41">
                  <c:v>-6.2000000000409727E-2</c:v>
                </c:pt>
                <c:pt idx="42">
                  <c:v>-6.2000000000409727E-2</c:v>
                </c:pt>
                <c:pt idx="43">
                  <c:v>-6.2000000000409727E-2</c:v>
                </c:pt>
                <c:pt idx="44">
                  <c:v>-6.2000000000409727E-2</c:v>
                </c:pt>
                <c:pt idx="45">
                  <c:v>-6.2000000000409727E-2</c:v>
                </c:pt>
                <c:pt idx="46">
                  <c:v>-6.2000000000409727E-2</c:v>
                </c:pt>
                <c:pt idx="47">
                  <c:v>-6.2000000000409727E-2</c:v>
                </c:pt>
                <c:pt idx="48">
                  <c:v>-6.2000000000409727E-2</c:v>
                </c:pt>
                <c:pt idx="49">
                  <c:v>-6.2000000000409727E-2</c:v>
                </c:pt>
                <c:pt idx="50">
                  <c:v>-6.2000000000409727E-2</c:v>
                </c:pt>
                <c:pt idx="51">
                  <c:v>-6.2000000000409727E-2</c:v>
                </c:pt>
                <c:pt idx="52">
                  <c:v>-6.2000000000409727E-2</c:v>
                </c:pt>
                <c:pt idx="53">
                  <c:v>-6.2000000000409727E-2</c:v>
                </c:pt>
                <c:pt idx="54">
                  <c:v>-6.2000000000409727E-2</c:v>
                </c:pt>
                <c:pt idx="55">
                  <c:v>-6.2000000000409727E-2</c:v>
                </c:pt>
                <c:pt idx="56">
                  <c:v>-6.2000000000409727E-2</c:v>
                </c:pt>
                <c:pt idx="57">
                  <c:v>-6.2000000000409727E-2</c:v>
                </c:pt>
                <c:pt idx="58">
                  <c:v>-6.2000000000409727E-2</c:v>
                </c:pt>
                <c:pt idx="59">
                  <c:v>-6.2000000000409727E-2</c:v>
                </c:pt>
                <c:pt idx="60">
                  <c:v>-6.2000000000409727E-2</c:v>
                </c:pt>
                <c:pt idx="61">
                  <c:v>-6.2000000000409727E-2</c:v>
                </c:pt>
                <c:pt idx="62">
                  <c:v>-6.2000000000409727E-2</c:v>
                </c:pt>
              </c:numCache>
            </c:numRef>
          </c:val>
          <c:extLst>
            <c:ext xmlns:c16="http://schemas.microsoft.com/office/drawing/2014/chart" uri="{C3380CC4-5D6E-409C-BE32-E72D297353CC}">
              <c16:uniqueId val="{00000000-BDB7-406C-9561-1D7B765CA671}"/>
            </c:ext>
          </c:extLst>
        </c:ser>
        <c:dLbls>
          <c:showLegendKey val="0"/>
          <c:showVal val="0"/>
          <c:showCatName val="0"/>
          <c:showSerName val="0"/>
          <c:showPercent val="0"/>
          <c:showBubbleSize val="0"/>
        </c:dLbls>
        <c:axId val="408736776"/>
        <c:axId val="408736448"/>
      </c:areaChart>
      <c:catAx>
        <c:axId val="40873677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8736448"/>
        <c:crosses val="autoZero"/>
        <c:auto val="1"/>
        <c:lblAlgn val="ctr"/>
        <c:lblOffset val="100"/>
        <c:noMultiLvlLbl val="0"/>
      </c:catAx>
      <c:valAx>
        <c:axId val="40873644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8736776"/>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9525</xdr:colOff>
      <xdr:row>89</xdr:row>
      <xdr:rowOff>179917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7667" y="971550"/>
          <a:ext cx="10444691"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66</xdr:col>
      <xdr:colOff>266700</xdr:colOff>
      <xdr:row>4</xdr:row>
      <xdr:rowOff>4762</xdr:rowOff>
    </xdr:from>
    <xdr:to>
      <xdr:col>79</xdr:col>
      <xdr:colOff>114300</xdr:colOff>
      <xdr:row>53</xdr:row>
      <xdr:rowOff>95250</xdr:rowOff>
    </xdr:to>
    <xdr:graphicFrame macro="">
      <xdr:nvGraphicFramePr>
        <xdr:cNvPr id="2" name="Chart 1">
          <a:extLst>
            <a:ext uri="{FF2B5EF4-FFF2-40B4-BE49-F238E27FC236}">
              <a16:creationId xmlns:a16="http://schemas.microsoft.com/office/drawing/2014/main" id="{3C66686E-AF09-46B3-A1D1-5A3F2E6B4D4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66</xdr:col>
      <xdr:colOff>285749</xdr:colOff>
      <xdr:row>54</xdr:row>
      <xdr:rowOff>90487</xdr:rowOff>
    </xdr:from>
    <xdr:to>
      <xdr:col>78</xdr:col>
      <xdr:colOff>598713</xdr:colOff>
      <xdr:row>71</xdr:row>
      <xdr:rowOff>40821</xdr:rowOff>
    </xdr:to>
    <xdr:graphicFrame macro="">
      <xdr:nvGraphicFramePr>
        <xdr:cNvPr id="3" name="Chart 2">
          <a:extLst>
            <a:ext uri="{FF2B5EF4-FFF2-40B4-BE49-F238E27FC236}">
              <a16:creationId xmlns:a16="http://schemas.microsoft.com/office/drawing/2014/main" id="{D851A636-B5B0-4CE8-A096-4802FA762E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51</xdr:col>
      <xdr:colOff>704850</xdr:colOff>
      <xdr:row>63</xdr:row>
      <xdr:rowOff>80962</xdr:rowOff>
    </xdr:from>
    <xdr:to>
      <xdr:col>65</xdr:col>
      <xdr:colOff>666750</xdr:colOff>
      <xdr:row>100</xdr:row>
      <xdr:rowOff>171450</xdr:rowOff>
    </xdr:to>
    <xdr:graphicFrame macro="">
      <xdr:nvGraphicFramePr>
        <xdr:cNvPr id="4" name="Chart 3">
          <a:extLst>
            <a:ext uri="{FF2B5EF4-FFF2-40B4-BE49-F238E27FC236}">
              <a16:creationId xmlns:a16="http://schemas.microsoft.com/office/drawing/2014/main" id="{165008A7-4A0A-48A0-8A94-3A663778FE4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79</xdr:col>
      <xdr:colOff>338137</xdr:colOff>
      <xdr:row>4</xdr:row>
      <xdr:rowOff>123824</xdr:rowOff>
    </xdr:from>
    <xdr:to>
      <xdr:col>92</xdr:col>
      <xdr:colOff>185737</xdr:colOff>
      <xdr:row>54</xdr:row>
      <xdr:rowOff>23812</xdr:rowOff>
    </xdr:to>
    <xdr:graphicFrame macro="">
      <xdr:nvGraphicFramePr>
        <xdr:cNvPr id="5" name="Chart 4">
          <a:extLst>
            <a:ext uri="{FF2B5EF4-FFF2-40B4-BE49-F238E27FC236}">
              <a16:creationId xmlns:a16="http://schemas.microsoft.com/office/drawing/2014/main" id="{F02E62C1-B07D-41EB-9FA1-5A680CB968D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7:AJ9" headerRowCount="0" totalsRowShown="0" headerRowDxfId="1619" headerRowBorderDxfId="1618" tableBorderDxfId="1617" totalsRowBorderDxfId="1616">
  <tableColumns count="36">
    <tableColumn id="1" xr3:uid="{00000000-0010-0000-0000-000001000000}" name="Column1" headerRowDxfId="1615" dataDxfId="1614"/>
    <tableColumn id="2" xr3:uid="{00000000-0010-0000-0000-000002000000}" name="Column2" headerRowDxfId="1613" dataDxfId="1612"/>
    <tableColumn id="3" xr3:uid="{00000000-0010-0000-0000-000003000000}" name="Column3" headerRowDxfId="1611" dataDxfId="1610"/>
    <tableColumn id="4" xr3:uid="{00000000-0010-0000-0000-000004000000}" name="Column4" headerRowDxfId="1609" dataDxfId="1608"/>
    <tableColumn id="5" xr3:uid="{00000000-0010-0000-0000-000005000000}" name="Column5" headerRowDxfId="1607" dataDxfId="1606"/>
    <tableColumn id="6" xr3:uid="{00000000-0010-0000-0000-000006000000}" name="Column6" headerRowDxfId="1605" dataDxfId="1604"/>
    <tableColumn id="7" xr3:uid="{00000000-0010-0000-0000-000007000000}" name="Column7" headerRowDxfId="1603" dataDxfId="1602"/>
    <tableColumn id="8" xr3:uid="{00000000-0010-0000-0000-000008000000}" name="Column8" headerRowDxfId="1601" dataDxfId="1600"/>
    <tableColumn id="9" xr3:uid="{00000000-0010-0000-0000-000009000000}" name="Column9" headerRowDxfId="1599" dataDxfId="1598"/>
    <tableColumn id="10" xr3:uid="{00000000-0010-0000-0000-00000A000000}" name="Column10" headerRowDxfId="1597" dataDxfId="1596"/>
    <tableColumn id="11" xr3:uid="{00000000-0010-0000-0000-00000B000000}" name="Column11" headerRowDxfId="1595" dataDxfId="1594"/>
    <tableColumn id="12" xr3:uid="{C2007B46-2ED3-4EB3-A763-91D6D5BAD287}" name="Column12" headerRowDxfId="1593" dataDxfId="1592"/>
    <tableColumn id="13" xr3:uid="{B37EFE11-0ACC-4827-94BC-3DDE7084D259}" name="Column13" headerRowDxfId="1591" dataDxfId="1590"/>
    <tableColumn id="14" xr3:uid="{8533CD41-2DD6-4AC0-8437-4AD601FFC2F9}" name="Column14" headerRowDxfId="1589" dataDxfId="1588"/>
    <tableColumn id="15" xr3:uid="{8C61B8BB-E695-45E9-AEE3-065F09EF6A33}" name="Column15" headerRowDxfId="1587" dataDxfId="1586"/>
    <tableColumn id="16" xr3:uid="{22F63629-CB26-4268-B1A8-8C5045EC33CA}" name="Column16" headerRowDxfId="1585" dataDxfId="1584"/>
    <tableColumn id="17" xr3:uid="{0EB5C65C-3795-4D37-8E7C-C718BFD4A54B}" name="Column17" headerRowDxfId="1583" dataDxfId="1582"/>
    <tableColumn id="18" xr3:uid="{3E51EA35-BFE9-405D-AB58-2BF6FB957236}" name="Column18" headerRowDxfId="1581" dataDxfId="1580"/>
    <tableColumn id="19" xr3:uid="{B3A205ED-BFFB-49BA-B171-B321D2E91ECF}" name="Column19" headerRowDxfId="1579" dataDxfId="1578"/>
    <tableColumn id="20" xr3:uid="{1E991E28-F96E-4B5B-BD68-EBABF78E5972}" name="Column20" headerRowDxfId="1577" dataDxfId="1576"/>
    <tableColumn id="21" xr3:uid="{C8190ED2-71DA-475B-911B-3AE96EEB284D}" name="Column21" headerRowDxfId="1575" dataDxfId="1574"/>
    <tableColumn id="22" xr3:uid="{247720F1-2BFB-45DC-9024-F03FAC6989A3}" name="Column22" headerRowDxfId="1573" dataDxfId="1572"/>
    <tableColumn id="23" xr3:uid="{1CCD7026-CD9D-4248-9053-57FEEF81DB21}" name="Column23" headerRowDxfId="1571" dataDxfId="1570"/>
    <tableColumn id="24" xr3:uid="{214DD3A3-B4F5-4642-AC58-393B255A97E8}" name="Column24" headerRowDxfId="1569" dataDxfId="1568"/>
    <tableColumn id="25" xr3:uid="{B97E428C-6A99-406B-BA55-4D373E217ED6}" name="Column25" headerRowDxfId="1567" dataDxfId="1566"/>
    <tableColumn id="26" xr3:uid="{66C92762-7A0C-470E-8CCA-46E3DC3E6E46}" name="Column26" headerRowDxfId="1565" dataDxfId="1564"/>
    <tableColumn id="27" xr3:uid="{9DEBE9C5-84D3-4E76-80DB-70C9017F0354}" name="Column27" headerRowDxfId="1563" dataDxfId="1562"/>
    <tableColumn id="28" xr3:uid="{C22EC564-9387-4025-A0CC-8DB0EEBDB406}" name="Column28" headerRowDxfId="1561" dataDxfId="1560"/>
    <tableColumn id="29" xr3:uid="{E344D76F-34D6-4B95-9011-6A5A439F7AE0}" name="Column29" headerRowDxfId="1559" dataDxfId="1558"/>
    <tableColumn id="30" xr3:uid="{9F456AC6-C1F9-4751-A31B-942DA875ED3F}" name="Column30" headerRowDxfId="1557" dataDxfId="1556"/>
    <tableColumn id="31" xr3:uid="{0ECC1C59-F14C-4276-869E-006C7D1FD304}" name="Column31" headerRowDxfId="1555" dataDxfId="1554"/>
    <tableColumn id="32" xr3:uid="{EB6B8A6F-FC5A-4A5D-AB88-E05527B77CEC}" name="Column32" headerRowDxfId="1553" dataDxfId="1552"/>
    <tableColumn id="33" xr3:uid="{8D7F19BD-2E19-497D-8FB9-046B6B5AEAED}" name="Column33" headerRowDxfId="1551" dataDxfId="1550"/>
    <tableColumn id="34" xr3:uid="{FCD1DB1C-0806-49F0-9544-5198CD200351}" name="Column34" headerRowDxfId="1549" dataDxfId="1548"/>
    <tableColumn id="35" xr3:uid="{7F0926AE-A00B-4BF1-BE1C-FAF12C0B70D6}" name="Column35" headerRowDxfId="1547" dataDxfId="1546"/>
    <tableColumn id="36" xr3:uid="{F96AD724-9519-43CE-B91D-BFA443B39C96}" name="Column36" headerRowDxfId="1545" dataDxfId="1544"/>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C3D0F73-79F9-4846-9839-C8620FA17928}" name="Table357911" displayName="Table357911" ref="A11:AN16" headerRowCount="0" totalsRowShown="0" headerRowDxfId="1000" headerRowBorderDxfId="999" tableBorderDxfId="998" totalsRowBorderDxfId="997">
  <tableColumns count="40">
    <tableColumn id="1" xr3:uid="{99DEED0F-079F-4FB8-966A-DD709B15BD24}" name="Column1" headerRowDxfId="996" dataDxfId="995"/>
    <tableColumn id="2" xr3:uid="{2D50B0E6-26C3-46F0-AD0E-9E71A6272F70}" name="Column2" headerRowDxfId="994" dataDxfId="993"/>
    <tableColumn id="3" xr3:uid="{35D15D10-2A73-4EE6-B060-0F7F21E3B2B2}" name="Column3" headerRowDxfId="992" dataDxfId="991"/>
    <tableColumn id="4" xr3:uid="{FC77725E-E890-4E03-8197-8D694F227F33}" name="Column4" headerRowDxfId="990" dataDxfId="989"/>
    <tableColumn id="5" xr3:uid="{8E9A6400-0D56-4C06-8C80-35773F9415A3}" name="Column5" headerRowDxfId="988" dataDxfId="987"/>
    <tableColumn id="6" xr3:uid="{D7F78E71-007F-4484-966D-0339EF781F1D}" name="Column6" headerRowDxfId="986" dataDxfId="985"/>
    <tableColumn id="7" xr3:uid="{1D7A3CE4-6ABF-4261-8152-66327EA8BEF3}" name="Column7" headerRowDxfId="984" dataDxfId="983"/>
    <tableColumn id="8" xr3:uid="{5ACAFAC4-84A3-4922-9411-6B75A1934C5E}" name="Column8" headerRowDxfId="982" dataDxfId="981"/>
    <tableColumn id="9" xr3:uid="{6863B5B7-179C-48EF-B189-9FF7F07A82FC}" name="Column9" headerRowDxfId="980" dataDxfId="979"/>
    <tableColumn id="10" xr3:uid="{BE5DA902-5FAB-4707-A8C3-2C2C2ADF6E31}" name="Column10" headerRowDxfId="978" dataDxfId="977"/>
    <tableColumn id="11" xr3:uid="{AFEC94B6-4342-441F-A082-1AF123AE3130}" name="Column11" headerRowDxfId="976" dataDxfId="975"/>
    <tableColumn id="12" xr3:uid="{F8A01B96-2DCD-4A37-BFA4-5C72A845A1AC}" name="Column12" headerRowDxfId="974" dataDxfId="973"/>
    <tableColumn id="13" xr3:uid="{4CCF8FB7-9E1C-49D8-8191-106817454DBC}" name="Column13" headerRowDxfId="972" dataDxfId="971"/>
    <tableColumn id="14" xr3:uid="{EE90E952-E3BD-4C15-B5C9-28479283954F}" name="Column14" headerRowDxfId="970" dataDxfId="969"/>
    <tableColumn id="15" xr3:uid="{9B36A0DD-19FC-44A4-BFEF-314816F04C7B}" name="Column15" headerRowDxfId="968" dataDxfId="967"/>
    <tableColumn id="16" xr3:uid="{F697767C-946D-4FDA-9417-B84F989CF54A}" name="Column16" headerRowDxfId="966" dataDxfId="965"/>
    <tableColumn id="17" xr3:uid="{6D984D1A-204B-4A35-9F5D-7D501B45B5B4}" name="Column17" headerRowDxfId="964" dataDxfId="963"/>
    <tableColumn id="18" xr3:uid="{7F05164D-B680-4535-9B6F-01F067C967DB}" name="Column18" headerRowDxfId="962" dataDxfId="961"/>
    <tableColumn id="19" xr3:uid="{DA4EC712-91B0-493A-97E1-72D1F8A2581B}" name="Column19" headerRowDxfId="960" dataDxfId="959"/>
    <tableColumn id="20" xr3:uid="{3AB89F35-EA5D-4A26-AF46-72D811B71171}" name="Column20" headerRowDxfId="958" dataDxfId="957"/>
    <tableColumn id="21" xr3:uid="{9842B09B-7E3F-4CCE-B5C7-EEB95EDD8C03}" name="Column21" headerRowDxfId="956" dataDxfId="955"/>
    <tableColumn id="22" xr3:uid="{2EE1BDB3-B5D4-4570-BFAE-C8DD53814F1A}" name="Column22" headerRowDxfId="954" dataDxfId="953"/>
    <tableColumn id="23" xr3:uid="{632C8A53-92A0-42DF-91E3-71AED6FAE415}" name="Column23" headerRowDxfId="952" dataDxfId="951"/>
    <tableColumn id="24" xr3:uid="{71158CA3-4D52-40C4-A446-C5060A371BE5}" name="Column24" headerRowDxfId="950" dataDxfId="949"/>
    <tableColumn id="25" xr3:uid="{4DFC7A8E-7DF1-4648-A64D-2B55B19C489F}" name="Column25" headerRowDxfId="948" dataDxfId="947"/>
    <tableColumn id="26" xr3:uid="{3327A3F7-8002-48CE-8C72-D6949D691F9C}" name="Column26" headerRowDxfId="946" dataDxfId="945"/>
    <tableColumn id="27" xr3:uid="{36B2FF45-C2ED-4E1D-9818-56FB4C3A807E}" name="Column27" headerRowDxfId="944" dataDxfId="943"/>
    <tableColumn id="28" xr3:uid="{31FFDAE9-BEE9-4907-90A2-CA8457EDDC1A}" name="Column28" headerRowDxfId="942" dataDxfId="941"/>
    <tableColumn id="29" xr3:uid="{6182501C-C715-4C10-B21D-540A9B610208}" name="Column29" headerRowDxfId="940" dataDxfId="939"/>
    <tableColumn id="30" xr3:uid="{704DB40B-080E-4799-9480-CDAC71DB4328}" name="Column30" headerRowDxfId="938" dataDxfId="937"/>
    <tableColumn id="31" xr3:uid="{A40FFE69-19C1-4CDD-839F-45B692FF5130}" name="Column31" headerRowDxfId="936" dataDxfId="935"/>
    <tableColumn id="32" xr3:uid="{E45AC3E2-A4D4-4F47-941E-A7BBE97F7422}" name="Column32" headerRowDxfId="934" dataDxfId="933"/>
    <tableColumn id="33" xr3:uid="{2E27BF9C-E3A5-4C70-A162-A3651793406B}" name="Column33" headerRowDxfId="932" dataDxfId="931"/>
    <tableColumn id="34" xr3:uid="{C1810CC2-E23A-46E4-A28D-E0B684AB1686}" name="Column34" headerRowDxfId="930" dataDxfId="929"/>
    <tableColumn id="35" xr3:uid="{B050A865-F9D3-4896-9A82-99977E2F06CB}" name="Column35" headerRowDxfId="928" dataDxfId="927"/>
    <tableColumn id="36" xr3:uid="{E1A99DD8-8915-4ED2-B4B6-25C45F79597D}" name="Column36" headerRowDxfId="926" dataDxfId="925"/>
    <tableColumn id="37" xr3:uid="{CC1B5737-D7DD-4C92-8A99-982C92C2CE2E}" name="Column37" headerRowDxfId="924" dataDxfId="923"/>
    <tableColumn id="38" xr3:uid="{4B1D7360-28CC-437E-8864-2F386E04476B}" name="Column38" headerRowDxfId="922" dataDxfId="921"/>
    <tableColumn id="39" xr3:uid="{5A7FA364-69B6-4183-8B24-6B47BA12CEE5}" name="Column39" headerRowDxfId="920" dataDxfId="919"/>
    <tableColumn id="40" xr3:uid="{E60B791C-D954-4184-B386-1FE559035808}" name="Column40" headerRowDxfId="918" dataDxfId="917"/>
  </tableColumns>
  <tableStyleInfo name="Table Style 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6A381D75-570A-4856-B25B-ECA600146A72}" name="Table22681012" displayName="Table22681012" ref="A7:AE9" headerRowCount="0" totalsRowShown="0" headerRowDxfId="913" headerRowBorderDxfId="912" tableBorderDxfId="911" totalsRowBorderDxfId="910">
  <tableColumns count="31">
    <tableColumn id="1" xr3:uid="{5344D37A-E176-46C8-9EE3-4C4E4BE15176}" name="Column1" headerRowDxfId="909" dataDxfId="908"/>
    <tableColumn id="2" xr3:uid="{D606F3D2-99CC-4D01-90F9-F74B2A9E157A}" name="Column2" headerRowDxfId="907" dataDxfId="906"/>
    <tableColumn id="3" xr3:uid="{F25F4ECC-2758-4238-9C69-2E842B8511EC}" name="Column3" headerRowDxfId="905" dataDxfId="904"/>
    <tableColumn id="4" xr3:uid="{BDB54CC9-2FED-4EC6-8E2B-2158A51947AE}" name="Column4" headerRowDxfId="903" dataDxfId="902"/>
    <tableColumn id="5" xr3:uid="{02317804-F4F6-401A-9F77-37430296520B}" name="Column5" headerRowDxfId="901" dataDxfId="900"/>
    <tableColumn id="6" xr3:uid="{2F3AE95B-2736-458F-8684-50B4DCB8B100}" name="Column6" headerRowDxfId="899" dataDxfId="898"/>
    <tableColumn id="7" xr3:uid="{66A20563-2ACF-4637-9E10-03BA1B9713BA}" name="Column7" headerRowDxfId="897" dataDxfId="896"/>
    <tableColumn id="8" xr3:uid="{1452A150-D255-4226-AEEB-66BCAF0F54DA}" name="Column8" headerRowDxfId="895" dataDxfId="894"/>
    <tableColumn id="9" xr3:uid="{EFCF1BC0-06BD-4A69-82F8-04C7B6D7D04B}" name="Column9" headerRowDxfId="893" dataDxfId="892"/>
    <tableColumn id="10" xr3:uid="{C5137921-FA35-4F91-A0AA-11DC1B32EF8B}" name="Column10" headerRowDxfId="891" dataDxfId="890"/>
    <tableColumn id="11" xr3:uid="{ED390C76-ADC4-449D-9B0F-A46F7E798D09}" name="Column11" headerRowDxfId="889" dataDxfId="888"/>
    <tableColumn id="12" xr3:uid="{C853A284-90B6-4A7E-8A74-9000E280FCE6}" name="Column12" headerRowDxfId="887" dataDxfId="886"/>
    <tableColumn id="13" xr3:uid="{413F1AE7-8B08-4C7E-AC75-BD9B04FE77D2}" name="Column13" headerRowDxfId="885" dataDxfId="884"/>
    <tableColumn id="14" xr3:uid="{D6ABC2A5-AED9-47AE-8E2A-131120F5FA95}" name="Column14" headerRowDxfId="883" dataDxfId="882"/>
    <tableColumn id="15" xr3:uid="{4E0C59E2-C840-491B-A226-3F0221D54661}" name="Column15" headerRowDxfId="881" dataDxfId="880"/>
    <tableColumn id="16" xr3:uid="{E24CA623-2AC9-475D-8AFB-8F193FA9A494}" name="Column16" headerRowDxfId="879" dataDxfId="878"/>
    <tableColumn id="17" xr3:uid="{45921727-FEF3-47C1-861F-E75BA130BAA2}" name="Column17" headerRowDxfId="877" dataDxfId="876"/>
    <tableColumn id="18" xr3:uid="{A7497FD6-1077-46AD-83E5-AB4FBF0ED8FF}" name="Column18" headerRowDxfId="875" dataDxfId="874"/>
    <tableColumn id="19" xr3:uid="{D20040DD-E0DE-49F7-B61B-E1A96DD4825D}" name="Column19" headerRowDxfId="873" dataDxfId="872"/>
    <tableColumn id="20" xr3:uid="{AA88BC75-B9B2-4AB8-B67C-E4F084D9A9A1}" name="Column20" headerRowDxfId="871" dataDxfId="870"/>
    <tableColumn id="21" xr3:uid="{164BE698-836B-4D69-AC5F-57BAAE6185A2}" name="Column21" headerRowDxfId="869" dataDxfId="868"/>
    <tableColumn id="22" xr3:uid="{8A22BB66-97F8-4264-A9D9-FBF79BE9EF59}" name="Column22" headerRowDxfId="867" dataDxfId="866"/>
    <tableColumn id="23" xr3:uid="{CEA4FB21-BB73-4969-8FC0-FC1B901E7070}" name="Column23" headerRowDxfId="865" dataDxfId="864"/>
    <tableColumn id="24" xr3:uid="{2142CDB7-CDF8-4BE3-BB33-8282885DDC9F}" name="Column24" headerRowDxfId="863" dataDxfId="862"/>
    <tableColumn id="25" xr3:uid="{83583E78-06A2-4953-8AC8-E764E2B0EE10}" name="Column25" headerRowDxfId="861" dataDxfId="860"/>
    <tableColumn id="26" xr3:uid="{1DD6619E-5B17-430E-9BD4-FCE3B5DA44C8}" name="Column26" headerRowDxfId="859" dataDxfId="858"/>
    <tableColumn id="27" xr3:uid="{53DA25FB-0323-46A2-A738-E8B0A771042B}" name="Column27" headerRowDxfId="857" dataDxfId="856"/>
    <tableColumn id="28" xr3:uid="{56C5D9F1-0664-449F-A7B2-89F463A3B5E9}" name="Column28" headerRowDxfId="855" dataDxfId="854"/>
    <tableColumn id="29" xr3:uid="{0F915A03-3539-4CBD-BE5C-849513846EA7}" name="Column29" headerRowDxfId="853" dataDxfId="852"/>
    <tableColumn id="30" xr3:uid="{BF4B6501-8208-454F-BD23-C04537BB9EF4}" name="Column30" headerRowDxfId="851" dataDxfId="850"/>
    <tableColumn id="31" xr3:uid="{D12F5722-C2EF-4F67-A591-BDD5C1CEB2AF}" name="Column31" headerRowDxfId="849" dataDxfId="848"/>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C8AD66FE-9258-47DD-BBC7-FBD6C7ED10FE}" name="Table35791117" displayName="Table35791117" ref="A11:AE16" headerRowCount="0" totalsRowShown="0" headerRowDxfId="847" headerRowBorderDxfId="846" tableBorderDxfId="845" totalsRowBorderDxfId="844">
  <tableColumns count="31">
    <tableColumn id="1" xr3:uid="{8B3EC1D2-BFDA-490F-884D-D2F8A4F645FE}" name="Column1" headerRowDxfId="843" dataDxfId="842"/>
    <tableColumn id="2" xr3:uid="{80391403-847F-4F4D-B21F-27269D7F730C}" name="Column2" headerRowDxfId="841" dataDxfId="840"/>
    <tableColumn id="3" xr3:uid="{A10414B9-79A0-4CE4-A7E1-1D3172D365F2}" name="Column3" headerRowDxfId="839" dataDxfId="838"/>
    <tableColumn id="4" xr3:uid="{9E10C524-CC0C-4B9C-B627-604EF40B1D15}" name="Column4" headerRowDxfId="837" dataDxfId="836"/>
    <tableColumn id="5" xr3:uid="{ABBF927F-88F0-434C-AD60-D5D868A62C04}" name="Column5" headerRowDxfId="835" dataDxfId="834"/>
    <tableColumn id="6" xr3:uid="{AA313FB2-EF7F-468D-BF70-817F12AADA05}" name="Column6" headerRowDxfId="833" dataDxfId="832"/>
    <tableColumn id="7" xr3:uid="{F2BAD29B-934C-45BB-BEEA-C00ED0D54DB9}" name="Column7" headerRowDxfId="831" dataDxfId="830"/>
    <tableColumn id="8" xr3:uid="{7D111C26-AE37-4268-9A67-48BC3798E41C}" name="Column8" headerRowDxfId="829" dataDxfId="828"/>
    <tableColumn id="9" xr3:uid="{A63322D0-CD50-438E-970C-00CA4983FDAA}" name="Column9" headerRowDxfId="827" dataDxfId="826"/>
    <tableColumn id="10" xr3:uid="{D68CE6D7-98EF-43AC-972B-96B937B564EF}" name="Column10" headerRowDxfId="825" dataDxfId="824"/>
    <tableColumn id="11" xr3:uid="{F68A2624-83CE-4129-8899-F77095DCF5D8}" name="Column11" headerRowDxfId="823" dataDxfId="822"/>
    <tableColumn id="12" xr3:uid="{C2C62CEB-66A6-4899-A7D5-6B16172BF99A}" name="Column12" headerRowDxfId="821" dataDxfId="820"/>
    <tableColumn id="13" xr3:uid="{93E85917-505A-4BB1-9292-A52C78B74469}" name="Column13" headerRowDxfId="819" dataDxfId="818"/>
    <tableColumn id="14" xr3:uid="{5A9F8C8B-21DB-4607-88F0-EF0C6DB566A5}" name="Column14" headerRowDxfId="817" dataDxfId="816"/>
    <tableColumn id="15" xr3:uid="{317726A5-BA51-4904-B24D-BB6B22D1DE01}" name="Column15" headerRowDxfId="815" dataDxfId="814"/>
    <tableColumn id="16" xr3:uid="{65048152-D6E3-4031-B4A5-6EE47879B72E}" name="Column16" headerRowDxfId="813" dataDxfId="812"/>
    <tableColumn id="17" xr3:uid="{4560DD1A-20ED-4555-9582-1784BC7F0523}" name="Column17" headerRowDxfId="811" dataDxfId="810"/>
    <tableColumn id="18" xr3:uid="{DF354253-ADC7-42C1-BB9D-CBE855B34D8B}" name="Column18" headerRowDxfId="809" dataDxfId="808"/>
    <tableColumn id="19" xr3:uid="{10D92CB9-E4C9-40E4-A8C3-E16E424DE24C}" name="Column19" headerRowDxfId="807" dataDxfId="806"/>
    <tableColumn id="20" xr3:uid="{ABACDEE3-F6CA-4CE7-BB1E-C72374AA1013}" name="Column20" headerRowDxfId="805" dataDxfId="804"/>
    <tableColumn id="21" xr3:uid="{5210DA6E-CED7-465E-9268-6E410E42817C}" name="Column21" headerRowDxfId="803" dataDxfId="802"/>
    <tableColumn id="22" xr3:uid="{D148D9CF-AD75-4E7D-8D49-A0D1CF31BF77}" name="Column22" headerRowDxfId="801" dataDxfId="800"/>
    <tableColumn id="23" xr3:uid="{D6F98565-5A3D-4388-9F0D-7B6CE28C37A6}" name="Column23" headerRowDxfId="799" dataDxfId="798"/>
    <tableColumn id="24" xr3:uid="{BCBBA057-FF61-4E27-B661-BBC5585C77AD}" name="Column24" headerRowDxfId="797" dataDxfId="796"/>
    <tableColumn id="25" xr3:uid="{D0429919-669B-4E9A-8634-DD21611AF68C}" name="Column25" headerRowDxfId="795" dataDxfId="794"/>
    <tableColumn id="26" xr3:uid="{A8D5F3DA-253F-4CE8-9082-7B969A6DD9E9}" name="Column26" headerRowDxfId="793" dataDxfId="792"/>
    <tableColumn id="27" xr3:uid="{BBD0ABD3-6023-4B21-BDDC-999F9900CDBE}" name="Column27" headerRowDxfId="791" dataDxfId="790"/>
    <tableColumn id="28" xr3:uid="{2B9FF580-1082-4B48-B889-AA57E7A48D10}" name="Column28" headerRowDxfId="789" dataDxfId="788"/>
    <tableColumn id="29" xr3:uid="{289D1F24-4340-409E-A4C6-6DBFE9F44B38}" name="Column29" headerRowDxfId="787" dataDxfId="786"/>
    <tableColumn id="30" xr3:uid="{DD675DDE-5F41-4961-AC99-E19D6C33FD3D}" name="Column30" headerRowDxfId="785" dataDxfId="784"/>
    <tableColumn id="31" xr3:uid="{5B04B05D-6C56-4097-9C64-24B2FE8B0F47}" name="Column31" headerRowDxfId="783" dataDxfId="782"/>
  </tableColumns>
  <tableStyleInfo name="Table Style 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8A95B0AC-9DD2-495B-8C86-8502D555F29F}" name="Table2268101218" displayName="Table2268101218" ref="A7:AF9" headerRowCount="0" totalsRowShown="0" headerRowDxfId="778" headerRowBorderDxfId="777" tableBorderDxfId="776" totalsRowBorderDxfId="775">
  <tableColumns count="32">
    <tableColumn id="1" xr3:uid="{51D93054-4F14-4EB7-80EE-07813BBC7B9A}" name="Column1" headerRowDxfId="774" dataDxfId="773"/>
    <tableColumn id="2" xr3:uid="{F93461C3-6320-4146-B031-7FCE2ACD37E3}" name="Column2" headerRowDxfId="772" dataDxfId="771"/>
    <tableColumn id="3" xr3:uid="{F5A53AB1-C122-49A4-ABE5-37E8A769BFB7}" name="Column3" headerRowDxfId="770" dataDxfId="769"/>
    <tableColumn id="4" xr3:uid="{B7574BB1-ECDC-43EA-BC3A-A1C945785DDF}" name="Column4" headerRowDxfId="768" dataDxfId="767"/>
    <tableColumn id="5" xr3:uid="{449D9AA7-6613-415A-AB70-6DCDEFEAAE83}" name="Column5" headerRowDxfId="766" dataDxfId="765"/>
    <tableColumn id="6" xr3:uid="{AAB4A608-A590-465C-9D6D-1FFCFF921CB3}" name="Column6" headerRowDxfId="764" dataDxfId="763"/>
    <tableColumn id="7" xr3:uid="{194A365A-BA20-43F5-838A-C09390A59637}" name="Column7" headerRowDxfId="762" dataDxfId="761"/>
    <tableColumn id="8" xr3:uid="{CC081D85-899E-494A-AB30-AEBCBE8EEC07}" name="Column8" headerRowDxfId="760" dataDxfId="759"/>
    <tableColumn id="9" xr3:uid="{12B23FFB-9C6A-43CB-B939-1C713547157D}" name="Column9" headerRowDxfId="758" dataDxfId="757"/>
    <tableColumn id="10" xr3:uid="{0E829E3A-A66D-485C-A025-E3DEC891B94B}" name="Column10" headerRowDxfId="756" dataDxfId="755"/>
    <tableColumn id="11" xr3:uid="{296A09B8-FF21-4A76-839C-E62855DA4BF2}" name="Column11" headerRowDxfId="754" dataDxfId="753"/>
    <tableColumn id="12" xr3:uid="{F9D4AE39-6C80-40CB-B113-F05C8C8CB5FF}" name="Column12" headerRowDxfId="752" dataDxfId="751"/>
    <tableColumn id="13" xr3:uid="{5F530328-8650-4214-BF18-D272DA1D43AF}" name="Column13" headerRowDxfId="750" dataDxfId="749"/>
    <tableColumn id="14" xr3:uid="{17A04E93-405A-4AE5-8004-D1B873153497}" name="Column14" headerRowDxfId="748" dataDxfId="747"/>
    <tableColumn id="15" xr3:uid="{7CF80382-9929-4057-848B-D247C655CD34}" name="Column15" headerRowDxfId="746" dataDxfId="745"/>
    <tableColumn id="16" xr3:uid="{F99C9BF7-081E-413A-B367-EFB6D65C2802}" name="Column16" headerRowDxfId="744" dataDxfId="743"/>
    <tableColumn id="17" xr3:uid="{8C4BAA70-C651-46F4-87F8-71A3FCE360B1}" name="Column17" headerRowDxfId="742" dataDxfId="741"/>
    <tableColumn id="18" xr3:uid="{AFCF949E-558F-4F07-8BD2-814C8A3D9238}" name="Column18" headerRowDxfId="740" dataDxfId="739"/>
    <tableColumn id="19" xr3:uid="{BC5D99D6-1EF1-41CC-8392-F06A61C515C4}" name="Column19" headerRowDxfId="738" dataDxfId="737"/>
    <tableColumn id="20" xr3:uid="{36139F74-FE2F-47FA-B6BF-D23EBF596B76}" name="Column20" headerRowDxfId="736" dataDxfId="735"/>
    <tableColumn id="21" xr3:uid="{25E081F6-EAB4-48CD-8126-EB1022C4DD7F}" name="Column21" headerRowDxfId="734" dataDxfId="733"/>
    <tableColumn id="22" xr3:uid="{7A537362-3311-400D-BC13-8F44528FE22C}" name="Column22" headerRowDxfId="732" dataDxfId="731"/>
    <tableColumn id="23" xr3:uid="{F0A52CA7-25F1-4F4C-AC80-0419FE50337E}" name="Column23" headerRowDxfId="730" dataDxfId="729"/>
    <tableColumn id="24" xr3:uid="{CFF1A4A7-3022-4A07-AA17-3862BFC92402}" name="Column24" headerRowDxfId="728" dataDxfId="727"/>
    <tableColumn id="25" xr3:uid="{A7CF5DAC-9DF3-4D8F-B3D3-BC2F4438922A}" name="Column25" headerRowDxfId="726" dataDxfId="725"/>
    <tableColumn id="26" xr3:uid="{F566C694-D2FA-4077-BA51-5EB0F7C8F108}" name="Column26" headerRowDxfId="724" dataDxfId="723"/>
    <tableColumn id="27" xr3:uid="{9C686EB3-1488-4855-A7E9-62EFCC3FB3C5}" name="Column27" headerRowDxfId="722" dataDxfId="721"/>
    <tableColumn id="28" xr3:uid="{0FD7366D-793C-4EE4-AE89-30726467C570}" name="Column28" headerRowDxfId="720" dataDxfId="719"/>
    <tableColumn id="29" xr3:uid="{70EFBC66-01F9-411E-A467-92E90D6789B4}" name="Column29" headerRowDxfId="718" dataDxfId="717"/>
    <tableColumn id="30" xr3:uid="{A926077A-08C0-4D41-9386-CB04812CD982}" name="Column30" headerRowDxfId="716" dataDxfId="715"/>
    <tableColumn id="31" xr3:uid="{DB01EAD8-C131-4496-8F7D-468B18C40CB4}" name="Column31" headerRowDxfId="714" dataDxfId="713"/>
    <tableColumn id="32" xr3:uid="{5B7E2E79-D12F-4960-AEEB-3053CA7A89BE}" name="Column32" headerRowDxfId="712" dataDxfId="711"/>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AE8BE3FF-A1B7-4B8F-804F-286007E19460}" name="Table3579111719" displayName="Table3579111719" ref="A11:AF16" headerRowCount="0" totalsRowShown="0">
  <tableColumns count="32">
    <tableColumn id="1" xr3:uid="{7EC4D377-40F1-42EB-9FD0-064FFA8F8281}" name="Column1" headerRowDxfId="710"/>
    <tableColumn id="2" xr3:uid="{10A834F6-2C9A-43F1-AFEE-DF318A4FB15D}" name="Column2" headerRowDxfId="709" dataDxfId="708"/>
    <tableColumn id="3" xr3:uid="{A392EC31-0D99-480A-A48D-79BF535F2D7D}" name="Column3" headerRowDxfId="707" dataDxfId="706"/>
    <tableColumn id="4" xr3:uid="{3760FF80-C384-4E73-BAC9-493E4D67B490}" name="Column4" headerRowDxfId="705" dataDxfId="704"/>
    <tableColumn id="5" xr3:uid="{3EFE819D-7C59-48BD-BB40-5D9566306A22}" name="Column5" headerRowDxfId="703" dataDxfId="702"/>
    <tableColumn id="6" xr3:uid="{62997D4C-280A-4D7E-B54B-52323DBF1A79}" name="Column6" headerRowDxfId="701" dataDxfId="700"/>
    <tableColumn id="7" xr3:uid="{D44FE102-55EF-4AB8-8FD9-6F309127D57C}" name="Column7" headerRowDxfId="699" dataDxfId="698"/>
    <tableColumn id="8" xr3:uid="{61C072D9-178E-40E0-B2B0-0F344E886B1E}" name="Column8" headerRowDxfId="697" dataDxfId="696"/>
    <tableColumn id="9" xr3:uid="{FC60CD44-6B37-42A3-BC61-6ECD23A5AD98}" name="Column9" headerRowDxfId="695" dataDxfId="694"/>
    <tableColumn id="10" xr3:uid="{7420C2A7-36CF-4A1B-A4E4-98038625BEA1}" name="Column10" headerRowDxfId="693" dataDxfId="692"/>
    <tableColumn id="11" xr3:uid="{20D5586E-13F8-47E4-8959-9D2B26E183AE}" name="Column11" headerRowDxfId="691" dataDxfId="690"/>
    <tableColumn id="12" xr3:uid="{5ABB00FF-C363-402D-8FA9-500745ED6D92}" name="Column12" headerRowDxfId="689" dataDxfId="688"/>
    <tableColumn id="13" xr3:uid="{DDA6F58B-6156-452F-A3E2-624F4B7DD184}" name="Column13" headerRowDxfId="687" dataDxfId="686"/>
    <tableColumn id="14" xr3:uid="{228C3BE3-7B66-41EA-AC86-8D4085F10039}" name="Column14" headerRowDxfId="685" dataDxfId="684"/>
    <tableColumn id="15" xr3:uid="{F09E8986-8E6A-4EEE-9CE6-74DFBF6C9B88}" name="Column15" headerRowDxfId="683" dataDxfId="682"/>
    <tableColumn id="16" xr3:uid="{F40D4937-63C0-4CA8-993C-67CD579FDB7E}" name="Column16" headerRowDxfId="681" dataDxfId="680"/>
    <tableColumn id="17" xr3:uid="{31C4B591-BFD5-46DA-884F-C3D2BFC06294}" name="Column17" headerRowDxfId="679" dataDxfId="678"/>
    <tableColumn id="18" xr3:uid="{EC393894-65E6-499F-A858-749F0F25ADFC}" name="Column18" headerRowDxfId="677" dataDxfId="676"/>
    <tableColumn id="19" xr3:uid="{38136C97-C18D-43A4-9869-9F2218DE6DAE}" name="Column19" headerRowDxfId="675" dataDxfId="674"/>
    <tableColumn id="20" xr3:uid="{7284BDE1-E6DF-4250-97A3-E44F772FEF91}" name="Column20" headerRowDxfId="673" dataDxfId="672"/>
    <tableColumn id="21" xr3:uid="{280B8481-5015-49AF-B698-E10D59586BA6}" name="Column21" headerRowDxfId="671" dataDxfId="670"/>
    <tableColumn id="22" xr3:uid="{F5A29287-53B7-44BA-AC55-D6744CEBEDA1}" name="Column22" headerRowDxfId="669" dataDxfId="668"/>
    <tableColumn id="23" xr3:uid="{CE3C5F4E-97D7-4F69-97FD-6B208AD89CFE}" name="Column23" headerRowDxfId="667" dataDxfId="666"/>
    <tableColumn id="24" xr3:uid="{E54F2430-8998-466A-8642-042B9ACF5E8B}" name="Column24" headerRowDxfId="665" dataDxfId="664"/>
    <tableColumn id="25" xr3:uid="{EFB8CA46-D7D3-467C-995F-0FF146F5C83E}" name="Column25" headerRowDxfId="663" dataDxfId="662"/>
    <tableColumn id="26" xr3:uid="{156A0A67-7D2E-47FD-AB04-921E671069E4}" name="Column26" headerRowDxfId="661" dataDxfId="660"/>
    <tableColumn id="27" xr3:uid="{6627AE29-E2A5-497D-B5C0-2B6D70F1D5B8}" name="Column27" headerRowDxfId="659" dataDxfId="658"/>
    <tableColumn id="28" xr3:uid="{E7BC0146-66CB-405D-9CCF-C0C3425E792B}" name="Column28" headerRowDxfId="657" dataDxfId="656"/>
    <tableColumn id="29" xr3:uid="{1B3637C7-A5FC-4830-8B53-599BACD8DB48}" name="Column29" headerRowDxfId="655" dataDxfId="654"/>
    <tableColumn id="30" xr3:uid="{E5EFF133-413C-44C3-8D4F-CC989880F21B}" name="Column30" headerRowDxfId="653" dataDxfId="652"/>
    <tableColumn id="31" xr3:uid="{21A926CE-A802-47F8-AC46-D3217FB7C205}" name="Column31" headerRowDxfId="651" dataDxfId="650"/>
    <tableColumn id="32" xr3:uid="{D051E561-B92C-4003-8003-2E3C2B1413D1}" name="Column32" headerRowDxfId="649" dataDxfId="648"/>
  </tableColumns>
  <tableStyleInfo name="Table Style 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8F607AE6-410E-4FBD-92BD-64D7123B5769}" name="Table226810121820" displayName="Table226810121820" ref="A7:AF9" headerRowCount="0" totalsRowShown="0" headerRowDxfId="638" headerRowBorderDxfId="637" tableBorderDxfId="636" totalsRowBorderDxfId="635">
  <tableColumns count="32">
    <tableColumn id="1" xr3:uid="{F193E0F2-A29A-413D-94D3-B56728AA34B4}" name="Column1" headerRowDxfId="634" dataDxfId="633"/>
    <tableColumn id="2" xr3:uid="{C9C6CB8B-9BC7-4DFE-82CA-2F765C493F76}" name="Column2" headerRowDxfId="632" dataDxfId="631"/>
    <tableColumn id="3" xr3:uid="{94A6AB35-B4F8-4519-8EC8-7CBD0CE90AD2}" name="Column3" headerRowDxfId="630" dataDxfId="629"/>
    <tableColumn id="4" xr3:uid="{8EA5A61E-B007-4737-9138-7097AA5B16E6}" name="Column4" headerRowDxfId="628" dataDxfId="627"/>
    <tableColumn id="5" xr3:uid="{2FA62B92-1DF6-4C8E-A91F-D0969F043F7D}" name="Column5" headerRowDxfId="626" dataDxfId="625"/>
    <tableColumn id="6" xr3:uid="{076E7E12-0639-451F-A5C4-DFA005C75290}" name="Column6" headerRowDxfId="624" dataDxfId="623"/>
    <tableColumn id="7" xr3:uid="{520E4EE0-BDD4-4AD3-9C23-0F8986D306D7}" name="Column7" headerRowDxfId="622" dataDxfId="621"/>
    <tableColumn id="8" xr3:uid="{E9909222-C17D-4D6A-92A1-570DA87A767C}" name="Column8" headerRowDxfId="620" dataDxfId="619"/>
    <tableColumn id="9" xr3:uid="{804C4FA5-5548-4F20-B5D5-149098BA7C56}" name="Column9" headerRowDxfId="618" dataDxfId="617"/>
    <tableColumn id="10" xr3:uid="{6EA32C77-8BFB-40C9-A439-A088C020E9DF}" name="Column10" headerRowDxfId="616" dataDxfId="615"/>
    <tableColumn id="11" xr3:uid="{3E4D0EB1-D6D2-4F86-9453-5BD39C45B309}" name="Column11" headerRowDxfId="614" dataDxfId="613"/>
    <tableColumn id="12" xr3:uid="{AFE169B2-358B-41B5-A9B3-681BA1F5D167}" name="Column12" headerRowDxfId="612" dataDxfId="611"/>
    <tableColumn id="13" xr3:uid="{DFB22278-2106-4A72-AA2D-B5FCD0C10704}" name="Column13" headerRowDxfId="610" dataDxfId="609"/>
    <tableColumn id="14" xr3:uid="{A777C8B2-3EF9-437C-A886-CB9869E6B52E}" name="Column14" headerRowDxfId="608" dataDxfId="607"/>
    <tableColumn id="15" xr3:uid="{23D3B21E-E6A9-42EF-9020-1791DBF597FF}" name="Column15" headerRowDxfId="606" dataDxfId="605"/>
    <tableColumn id="16" xr3:uid="{4C49CF5C-604C-4DC7-BB64-F147EE22B3E5}" name="Column16" headerRowDxfId="604" dataDxfId="603"/>
    <tableColumn id="17" xr3:uid="{6631809A-6F92-4BE3-B6FD-B1306A2D0745}" name="Column17" headerRowDxfId="602" dataDxfId="601"/>
    <tableColumn id="18" xr3:uid="{547A1E04-670C-4E5E-9056-50C4A4B39F79}" name="Column18" headerRowDxfId="600" dataDxfId="599"/>
    <tableColumn id="19" xr3:uid="{3E94908E-82FD-4CF4-81C0-B7D6EAAC8F12}" name="Column19" headerRowDxfId="598" dataDxfId="597"/>
    <tableColumn id="20" xr3:uid="{E948D14E-0B83-49D6-9AC2-6330381C399B}" name="Column20" headerRowDxfId="596" dataDxfId="595"/>
    <tableColumn id="21" xr3:uid="{C6C95923-BCA4-4D08-9411-4A76E6B541AF}" name="Column21" headerRowDxfId="594" dataDxfId="593"/>
    <tableColumn id="22" xr3:uid="{C7666929-19A5-4B3D-8FF4-C006E12239E9}" name="Column22" headerRowDxfId="592" dataDxfId="591"/>
    <tableColumn id="23" xr3:uid="{EFD5FE94-4925-438C-9E1F-168D69201CA8}" name="Column23" headerRowDxfId="590" dataDxfId="589"/>
    <tableColumn id="24" xr3:uid="{2A1BB0CB-68ED-4D50-BBD7-B077E0AF92A1}" name="Column24" headerRowDxfId="588" dataDxfId="587"/>
    <tableColumn id="25" xr3:uid="{2EEB7989-0CE7-4B55-ABB9-3BBDA2DBDE40}" name="Column25" headerRowDxfId="586" dataDxfId="585"/>
    <tableColumn id="26" xr3:uid="{12742DBF-B88A-4757-AF08-BCE382F0B4A8}" name="Column26" headerRowDxfId="584" dataDxfId="583"/>
    <tableColumn id="27" xr3:uid="{F90B900F-3673-42AD-B3CA-01A45269826A}" name="Column27" headerRowDxfId="582" dataDxfId="581"/>
    <tableColumn id="28" xr3:uid="{CA30A480-D865-45E5-8153-7197E6F18007}" name="Column28" headerRowDxfId="580" dataDxfId="579"/>
    <tableColumn id="29" xr3:uid="{7338F80B-118F-4469-BA7C-92790F37F74A}" name="Column29" headerRowDxfId="578" dataDxfId="577"/>
    <tableColumn id="30" xr3:uid="{986058CD-E6B8-4C56-A27B-2DA316FE0F54}" name="Column30" headerRowDxfId="576" dataDxfId="575"/>
    <tableColumn id="31" xr3:uid="{D28824BF-7B15-47AE-B8F7-1C9CEFAC309A}" name="Column31" headerRowDxfId="574" dataDxfId="573"/>
    <tableColumn id="32" xr3:uid="{39BE0317-01E1-427E-9089-519B7D25E4D6}" name="Column32" headerRowDxfId="572" dataDxfId="571"/>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268A72EE-9EA1-4BD6-9211-6F10A95CBE52}" name="Table357911171921" displayName="Table357911171921" ref="A11:AF16" headerRowCount="0" totalsRowShown="0" headerRowDxfId="570" headerRowBorderDxfId="569" tableBorderDxfId="568" totalsRowBorderDxfId="567">
  <tableColumns count="32">
    <tableColumn id="1" xr3:uid="{59B5F7C3-EDDC-44BF-9DF3-C47DC65D3C32}" name="Column1" headerRowDxfId="566" dataDxfId="565"/>
    <tableColumn id="2" xr3:uid="{F5AD19E1-EA64-46A4-8689-423E8D5502DB}" name="Column2" headerRowDxfId="564" dataDxfId="563"/>
    <tableColumn id="3" xr3:uid="{6D22DBC6-3D0B-47DF-A947-50ECCD4C843A}" name="Column3" headerRowDxfId="562" dataDxfId="561"/>
    <tableColumn id="4" xr3:uid="{149646EE-A16F-45E2-B03B-94A4964099BA}" name="Column4" headerRowDxfId="560" dataDxfId="559"/>
    <tableColumn id="5" xr3:uid="{4A19D56F-B970-4152-B03C-E7A198B4B5D4}" name="Column5" headerRowDxfId="558" dataDxfId="557"/>
    <tableColumn id="6" xr3:uid="{659A7579-6053-496F-A6B4-E68C2AAF7593}" name="Column6" headerRowDxfId="556" dataDxfId="555"/>
    <tableColumn id="7" xr3:uid="{5985FF6A-B9B0-4B0F-B850-FF6FC3405DC1}" name="Column7" headerRowDxfId="554" dataDxfId="553"/>
    <tableColumn id="8" xr3:uid="{08DE1E53-3771-4684-9E2D-2E094C9C81D0}" name="Column8" headerRowDxfId="552" dataDxfId="551"/>
    <tableColumn id="9" xr3:uid="{15ADDEF5-988F-4F81-89C0-BB53C1C77A57}" name="Column9" headerRowDxfId="550" dataDxfId="549"/>
    <tableColumn id="10" xr3:uid="{204102C0-51FF-4F5F-BD46-FA596BC5D9F3}" name="Column10" headerRowDxfId="548" dataDxfId="547"/>
    <tableColumn id="11" xr3:uid="{D0CC015A-9B54-4EA5-BB90-2A3B36A53E1F}" name="Column11" headerRowDxfId="546" dataDxfId="545"/>
    <tableColumn id="12" xr3:uid="{F573847D-6D56-4C87-AD8D-7BF4632F5882}" name="Column12" headerRowDxfId="544" dataDxfId="543"/>
    <tableColumn id="13" xr3:uid="{52E668B1-DFC6-4936-B0AF-6D35CE733C8C}" name="Column13" headerRowDxfId="542" dataDxfId="541"/>
    <tableColumn id="14" xr3:uid="{6F62151A-9E1A-455D-99A7-91ACFC69275C}" name="Column14" headerRowDxfId="540" dataDxfId="539"/>
    <tableColumn id="15" xr3:uid="{DC11E066-A63E-4EFD-A439-ECE395DA2EC0}" name="Column15" headerRowDxfId="538" dataDxfId="537"/>
    <tableColumn id="16" xr3:uid="{8A708E44-EDDE-4C2D-B507-A17A60220A2F}" name="Column16" headerRowDxfId="536" dataDxfId="535"/>
    <tableColumn id="17" xr3:uid="{D5AA1D98-F2C5-4B4A-8B33-31847F755B8E}" name="Column17" headerRowDxfId="534" dataDxfId="533"/>
    <tableColumn id="18" xr3:uid="{5436AAD1-46A1-4449-A337-ED0D7BE5E208}" name="Column18" headerRowDxfId="532" dataDxfId="531"/>
    <tableColumn id="19" xr3:uid="{531468CE-7E0E-4341-B657-3D5938F1B195}" name="Column19" headerRowDxfId="530" dataDxfId="529"/>
    <tableColumn id="20" xr3:uid="{F122A455-AEAE-45D3-95D5-733B2C4B75E6}" name="Column20" headerRowDxfId="528" dataDxfId="527"/>
    <tableColumn id="21" xr3:uid="{20A2B9FD-6625-4A2E-A159-FAD80E789791}" name="Column21" headerRowDxfId="526" dataDxfId="525"/>
    <tableColumn id="22" xr3:uid="{FEEE0686-6C39-42D3-B66A-CDEEE7D5054B}" name="Column22" headerRowDxfId="524" dataDxfId="523"/>
    <tableColumn id="23" xr3:uid="{468081D1-B578-43EC-9F39-682968941E73}" name="Column23" headerRowDxfId="522" dataDxfId="521"/>
    <tableColumn id="24" xr3:uid="{2FAF5E01-D8B9-4712-A7F9-6BE891D408C5}" name="Column24" headerRowDxfId="520" dataDxfId="519"/>
    <tableColumn id="25" xr3:uid="{8596B8B5-8925-4B89-A536-1BB934382FA4}" name="Column25" headerRowDxfId="518" dataDxfId="517"/>
    <tableColumn id="26" xr3:uid="{9F77F09E-325A-46DF-A30C-127E29C1123E}" name="Column26" headerRowDxfId="516" dataDxfId="515"/>
    <tableColumn id="27" xr3:uid="{0AB478A2-E4A8-4F93-AB3E-36EC71E8FF84}" name="Column27" headerRowDxfId="514" dataDxfId="513"/>
    <tableColumn id="28" xr3:uid="{39C450E9-0847-44D8-8097-83804AD2C437}" name="Column28" headerRowDxfId="512" dataDxfId="511"/>
    <tableColumn id="29" xr3:uid="{4F7EADA1-21E8-4517-9050-0A369F7B0923}" name="Column29" headerRowDxfId="510" dataDxfId="509"/>
    <tableColumn id="30" xr3:uid="{2A4B0A69-A189-4B9A-BB4F-7415EF64F48C}" name="Column30" headerRowDxfId="508" dataDxfId="507"/>
    <tableColumn id="31" xr3:uid="{6323187E-5328-45D6-A800-AED353A7FCF5}" name="Column31" headerRowDxfId="506" dataDxfId="505"/>
    <tableColumn id="32" xr3:uid="{5BB547B1-43B0-463B-9D94-365DB741AC1F}" name="Column32" headerRowDxfId="504" dataDxfId="503"/>
  </tableColumns>
  <tableStyleInfo name="Table Style 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7A9B4495-19A9-4686-B843-759459640C79}" name="Table22681012182022" displayName="Table22681012182022" ref="A7:AN9" headerRowCount="0" totalsRowShown="0" headerRowDxfId="498" headerRowBorderDxfId="497" tableBorderDxfId="496" totalsRowBorderDxfId="495">
  <tableColumns count="40">
    <tableColumn id="1" xr3:uid="{5C289105-E25A-406C-A980-1B73C4C2E546}" name="Column1" headerRowDxfId="494" dataDxfId="493"/>
    <tableColumn id="2" xr3:uid="{684FFE3D-27D8-45D2-8713-45551FD94BB5}" name="Column2" headerRowDxfId="492" dataDxfId="491"/>
    <tableColumn id="3" xr3:uid="{D21A7985-6FE2-4BA9-A687-CA2407E8BFB2}" name="Column3" headerRowDxfId="490" dataDxfId="489"/>
    <tableColumn id="4" xr3:uid="{9C8243CA-B8A4-4995-82AC-F574AE9F4FE0}" name="Column4" headerRowDxfId="488" dataDxfId="487"/>
    <tableColumn id="5" xr3:uid="{493AD37A-BA65-4B66-8966-C76C1FF9DF51}" name="Column5" headerRowDxfId="486" dataDxfId="485"/>
    <tableColumn id="6" xr3:uid="{C950375F-0852-414F-ADFB-02BA0425E5FD}" name="Column6" headerRowDxfId="484" dataDxfId="483"/>
    <tableColumn id="7" xr3:uid="{A2AEF4E4-61BA-426B-92F2-566172E5C30A}" name="Column7" headerRowDxfId="482" dataDxfId="481"/>
    <tableColumn id="8" xr3:uid="{FFDEB1EA-DB56-4194-9AD3-F46BB2FF0B28}" name="Column8" headerRowDxfId="480" dataDxfId="479"/>
    <tableColumn id="9" xr3:uid="{6E0E897E-5FF3-4BF5-9213-9AC8570CCCAD}" name="Column9" headerRowDxfId="478" dataDxfId="477"/>
    <tableColumn id="10" xr3:uid="{901DAEC7-A0CD-40D8-A152-06A9F7CA6B2E}" name="Column10" headerRowDxfId="476" dataDxfId="475"/>
    <tableColumn id="11" xr3:uid="{069E8AB6-1398-42B8-9841-515F5DF0023D}" name="Column11" headerRowDxfId="474" dataDxfId="473"/>
    <tableColumn id="12" xr3:uid="{08707549-D925-4EC8-BC14-BA1725FA7C55}" name="Column12" headerRowDxfId="472" dataDxfId="471"/>
    <tableColumn id="13" xr3:uid="{2BED0CE6-079F-41CF-B017-39BAA70513F4}" name="Column13" headerRowDxfId="470" dataDxfId="469"/>
    <tableColumn id="14" xr3:uid="{5ED2432D-8113-4E6C-B511-77D2CE319AD8}" name="Column14" headerRowDxfId="468" dataDxfId="467"/>
    <tableColumn id="15" xr3:uid="{AB88B47E-6B6E-43CC-BB09-BB90ABDBE10F}" name="Column15" headerRowDxfId="466" dataDxfId="465"/>
    <tableColumn id="16" xr3:uid="{7D1595D6-428E-493B-B12B-5B517AC46302}" name="Column16" headerRowDxfId="464" dataDxfId="463"/>
    <tableColumn id="17" xr3:uid="{D32CE39C-F5A4-48D5-A569-86719B18C312}" name="Column17" headerRowDxfId="462" dataDxfId="461"/>
    <tableColumn id="18" xr3:uid="{1708BF58-5BC8-4B45-8BAE-6458F4DA308B}" name="Column18" headerRowDxfId="460" dataDxfId="459"/>
    <tableColumn id="19" xr3:uid="{D23D26F2-D652-4131-995A-AB44DA9BCB87}" name="Column19" headerRowDxfId="458" dataDxfId="457"/>
    <tableColumn id="20" xr3:uid="{67AD117A-8C51-44C6-94F8-E730F83E71DF}" name="Column20" headerRowDxfId="456" dataDxfId="455"/>
    <tableColumn id="21" xr3:uid="{008C9B2A-3692-44C5-BF07-1140FF53FBFD}" name="Column21" headerRowDxfId="454" dataDxfId="453"/>
    <tableColumn id="22" xr3:uid="{9B954D26-D621-4BA7-9163-EB6C4261B629}" name="Column22" headerRowDxfId="452" dataDxfId="451"/>
    <tableColumn id="23" xr3:uid="{6BEEE2D2-6173-4682-9DE7-A14C7BF29B25}" name="Column23" headerRowDxfId="450" dataDxfId="449"/>
    <tableColumn id="24" xr3:uid="{A6EEA57B-56AC-4986-9EAC-EE32B2C4A21D}" name="Column24" headerRowDxfId="448" dataDxfId="447"/>
    <tableColumn id="25" xr3:uid="{44D220CE-34B6-46EE-B3EF-508D743ADE0D}" name="Column25" headerRowDxfId="446" dataDxfId="445"/>
    <tableColumn id="26" xr3:uid="{2BA2FB66-7801-4339-8E6A-70E0F3D21E16}" name="Column26" headerRowDxfId="444" dataDxfId="443"/>
    <tableColumn id="27" xr3:uid="{DC541C99-0DDC-441A-882F-1E70B83918D8}" name="Column27" headerRowDxfId="442" dataDxfId="441"/>
    <tableColumn id="28" xr3:uid="{A1A55754-3889-4C7F-AD5A-EE88A65D8000}" name="Column28" headerRowDxfId="440" dataDxfId="439"/>
    <tableColumn id="29" xr3:uid="{4DA0D5D6-C9D8-4E98-BEFD-45E759D37277}" name="Column29" headerRowDxfId="438" dataDxfId="437"/>
    <tableColumn id="30" xr3:uid="{3ACB3D40-F83E-40A8-BB1C-0F3ED0C18582}" name="Column30" headerRowDxfId="436" dataDxfId="435"/>
    <tableColumn id="31" xr3:uid="{904E720D-76E9-4520-A59D-5815EB8B32C8}" name="Column31" headerRowDxfId="434" dataDxfId="433"/>
    <tableColumn id="32" xr3:uid="{3C26CD53-55AC-4512-AC38-4C22AC12CD97}" name="Column32" headerRowDxfId="432" dataDxfId="431"/>
    <tableColumn id="33" xr3:uid="{E4B222C1-94FF-4F76-A8B5-6BE7AD1B306C}" name="Column33" headerRowDxfId="430" dataDxfId="429"/>
    <tableColumn id="34" xr3:uid="{5090AFFF-3AB7-43DE-B680-7E834B5CE30D}" name="Column34" headerRowDxfId="428" dataDxfId="427"/>
    <tableColumn id="35" xr3:uid="{6268179A-3A3E-4D64-BC35-A0B772F356A7}" name="Column35" headerRowDxfId="426" dataDxfId="425"/>
    <tableColumn id="36" xr3:uid="{73C24706-C526-49A7-AFAA-CBE0E17FE454}" name="Column36" headerRowDxfId="424" dataDxfId="423"/>
    <tableColumn id="37" xr3:uid="{9F4D7289-C4F2-4730-811D-3DD58E96C4E3}" name="Column37" headerRowDxfId="422" dataDxfId="421"/>
    <tableColumn id="38" xr3:uid="{F8B711AB-F789-4534-87E0-14E0B50B96CC}" name="Column38" headerRowDxfId="420" dataDxfId="419"/>
    <tableColumn id="39" xr3:uid="{4EBAE732-4798-4AD8-BE73-C60D63AD3CB2}" name="Column39" headerRowDxfId="418" dataDxfId="417"/>
    <tableColumn id="40" xr3:uid="{AD02BB30-63CC-45AA-8E09-292EA020656D}" name="Column40" headerRowDxfId="416" dataDxfId="415"/>
  </tableColumns>
  <tableStyleInfo name="Table Style 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1D086E2-62BA-4EEF-B327-3EB0E9588E61}" name="Table35791117192123" displayName="Table35791117192123" ref="A11:AN18" headerRowCount="0" totalsRowShown="0" headerRowDxfId="414" headerRowBorderDxfId="413" tableBorderDxfId="412" totalsRowBorderDxfId="411">
  <tableColumns count="40">
    <tableColumn id="1" xr3:uid="{D1BF096E-BDFC-4998-9262-241212CE6B54}" name="Column1" headerRowDxfId="410" dataDxfId="409"/>
    <tableColumn id="2" xr3:uid="{DC7DF00A-D979-46F5-B444-D1BE1861030A}" name="Column2" headerRowDxfId="408" dataDxfId="407"/>
    <tableColumn id="3" xr3:uid="{4DDACA64-9F49-483A-B33D-0FA3B67D6A47}" name="Column3" headerRowDxfId="406" dataDxfId="405"/>
    <tableColumn id="4" xr3:uid="{BA05FF9C-3D16-465D-8CE8-80128A3DECCE}" name="Column4" headerRowDxfId="404" dataDxfId="403"/>
    <tableColumn id="5" xr3:uid="{250E6694-D0FC-4095-ACFD-543BEA945800}" name="Column5" headerRowDxfId="402" dataDxfId="401"/>
    <tableColumn id="6" xr3:uid="{611283FA-8595-4802-9684-CC4DF0CBCFC1}" name="Column6" headerRowDxfId="400" dataDxfId="399"/>
    <tableColumn id="7" xr3:uid="{1A8F4535-A948-425A-872A-5A0678AD54E1}" name="Column7" headerRowDxfId="398" dataDxfId="397"/>
    <tableColumn id="8" xr3:uid="{BC9A41A8-223C-4D58-BA64-9917D59271DF}" name="Column8" headerRowDxfId="396" dataDxfId="395"/>
    <tableColumn id="9" xr3:uid="{7DF21D33-0836-44E6-84F1-D0E13E141548}" name="Column9" headerRowDxfId="394" dataDxfId="393"/>
    <tableColumn id="10" xr3:uid="{6E23A767-5FF8-4E6C-B26F-C58366588A27}" name="Column10" headerRowDxfId="392" dataDxfId="391"/>
    <tableColumn id="11" xr3:uid="{F05644B2-5BA5-40FF-B686-7C9964A511D8}" name="Column11" headerRowDxfId="390" dataDxfId="389"/>
    <tableColumn id="12" xr3:uid="{6B5C63D7-F79B-416B-9EDF-A8FD70CDD22D}" name="Column12" headerRowDxfId="388" dataDxfId="387"/>
    <tableColumn id="13" xr3:uid="{08066957-38B9-4D96-B65A-CF5E84B2957C}" name="Column13" headerRowDxfId="386" dataDxfId="385"/>
    <tableColumn id="14" xr3:uid="{A3C5F82D-14C8-48AA-8D2C-60D818482879}" name="Column14" headerRowDxfId="384" dataDxfId="383"/>
    <tableColumn id="15" xr3:uid="{0CA9C8F4-BE8E-42AF-BC99-EDDA5FF6D448}" name="Column15" headerRowDxfId="382" dataDxfId="381"/>
    <tableColumn id="16" xr3:uid="{D896D95D-EDB5-4D82-9600-811B5285D3CB}" name="Column16" headerRowDxfId="380" dataDxfId="379"/>
    <tableColumn id="17" xr3:uid="{4FD0D83C-B2D7-4AE3-83E3-6881C57A00AF}" name="Column17" headerRowDxfId="378" dataDxfId="377"/>
    <tableColumn id="18" xr3:uid="{57791D87-FBFC-46C5-917C-F1F96E09CE94}" name="Column18" headerRowDxfId="376" dataDxfId="375"/>
    <tableColumn id="19" xr3:uid="{9530526E-0EB6-4F93-A4FF-FFC7A5D76862}" name="Column19" headerRowDxfId="374" dataDxfId="373"/>
    <tableColumn id="20" xr3:uid="{37218A85-C226-48BE-A01E-AE1E6CE6480B}" name="Column20" headerRowDxfId="372" dataDxfId="371"/>
    <tableColumn id="21" xr3:uid="{9E5B400D-931F-430F-8515-20D775EAC359}" name="Column21" headerRowDxfId="370" dataDxfId="369"/>
    <tableColumn id="22" xr3:uid="{C598C941-C79C-4926-B14D-4F71AC22C946}" name="Column22" headerRowDxfId="368" dataDxfId="367"/>
    <tableColumn id="23" xr3:uid="{5F53D6BD-4E68-40ED-8027-E3EF00A6D1CD}" name="Column23" headerRowDxfId="366" dataDxfId="365"/>
    <tableColumn id="24" xr3:uid="{6251FC37-1CDB-4D9A-8D7F-3110317AC068}" name="Column24" headerRowDxfId="364" dataDxfId="363"/>
    <tableColumn id="25" xr3:uid="{9DEF7346-D7A3-48EC-B466-AC7676919582}" name="Column25" headerRowDxfId="362" dataDxfId="361"/>
    <tableColumn id="26" xr3:uid="{60EA1953-B866-45F9-9D22-480375ADFAC3}" name="Column26" headerRowDxfId="360" dataDxfId="359"/>
    <tableColumn id="27" xr3:uid="{96C813F0-B234-445F-946C-2672288DE435}" name="Column27" headerRowDxfId="358" dataDxfId="357"/>
    <tableColumn id="28" xr3:uid="{FE96ED00-2171-4AE3-83B5-EEBB5E545E18}" name="Column28" headerRowDxfId="356" dataDxfId="355"/>
    <tableColumn id="29" xr3:uid="{86D89BB0-BA06-4B4D-81E4-C8AA937C83F3}" name="Column29" headerRowDxfId="354" dataDxfId="353"/>
    <tableColumn id="30" xr3:uid="{021E7FFF-782D-48B8-AF5E-DCDFB9CDB919}" name="Column30" headerRowDxfId="352" dataDxfId="351"/>
    <tableColumn id="31" xr3:uid="{A8276BBC-C068-4057-9E4F-02CD3B4E2BDA}" name="Column31" headerRowDxfId="350" dataDxfId="349"/>
    <tableColumn id="32" xr3:uid="{4D16280A-A45A-48C7-B15C-B65E3A7124EF}" name="Column32" headerRowDxfId="348" dataDxfId="347"/>
    <tableColumn id="33" xr3:uid="{A98D9F63-5C2B-4516-80F5-47AAF0B00B78}" name="Column33" headerRowDxfId="346" dataDxfId="345"/>
    <tableColumn id="34" xr3:uid="{DDFC4337-1A8F-4956-8A7A-E5DEE948899F}" name="Column34" headerRowDxfId="344" dataDxfId="343"/>
    <tableColumn id="35" xr3:uid="{7195C483-1D6B-4F41-9ECD-64B2A7B83D49}" name="Column35" headerRowDxfId="342" dataDxfId="341"/>
    <tableColumn id="36" xr3:uid="{B6E48B4C-9DC6-4BF0-85C4-6224C929D5C4}" name="Column36" headerRowDxfId="340" dataDxfId="339"/>
    <tableColumn id="37" xr3:uid="{24D492CD-DDF7-427D-99A1-AAA316006669}" name="Column37" headerRowDxfId="338" dataDxfId="337"/>
    <tableColumn id="38" xr3:uid="{52D778FD-A2FD-4C82-94F7-93121BBD1D3E}" name="Column38" headerRowDxfId="336" dataDxfId="335"/>
    <tableColumn id="39" xr3:uid="{A365194B-C0EB-4609-91E9-2F52093860C0}" name="Column39" headerRowDxfId="334" dataDxfId="333"/>
    <tableColumn id="40" xr3:uid="{0B7D090F-8A99-4BED-B8E4-31B0004AFDF2}" name="Column40" headerRowDxfId="332" dataDxfId="331"/>
  </tableColumns>
  <tableStyleInfo name="Table Style 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3AB800A-27C4-4AAA-A6F6-7589C1A45038}" name="Table2268101218202224" displayName="Table2268101218202224" ref="A7:AN9" headerRowCount="0" totalsRowShown="0" headerRowDxfId="326" headerRowBorderDxfId="325" tableBorderDxfId="324" totalsRowBorderDxfId="323">
  <tableColumns count="40">
    <tableColumn id="1" xr3:uid="{595883E9-2F2D-457B-820C-833BA9F31194}" name="Column1" headerRowDxfId="322" dataDxfId="321"/>
    <tableColumn id="2" xr3:uid="{9C963B5F-CB5B-4DF6-952A-A3873423AF9C}" name="Column2" headerRowDxfId="320" dataDxfId="319"/>
    <tableColumn id="3" xr3:uid="{99803942-0309-415F-BC2E-B30CADA12501}" name="Column3" headerRowDxfId="318" dataDxfId="317"/>
    <tableColumn id="4" xr3:uid="{F2D3786F-1EBE-4710-9AF2-C176DCD75A09}" name="Column4" headerRowDxfId="316" dataDxfId="315"/>
    <tableColumn id="5" xr3:uid="{9690D0BE-ECCB-4FBC-A776-8AE8D83B95D4}" name="Column5" headerRowDxfId="314" dataDxfId="313"/>
    <tableColumn id="6" xr3:uid="{8C0E2F86-661B-4997-8147-A5B17AE5DA15}" name="Column6" headerRowDxfId="312" dataDxfId="311"/>
    <tableColumn id="7" xr3:uid="{119360EA-A4C3-4CE6-B9A1-0ABF376CD237}" name="Column7" headerRowDxfId="310" dataDxfId="309"/>
    <tableColumn id="8" xr3:uid="{A07AE54C-B761-48A3-968F-034AC83FB467}" name="Column8" headerRowDxfId="308" dataDxfId="307"/>
    <tableColumn id="9" xr3:uid="{6E0D5085-E28B-45C8-95BB-521BE5EDA2A6}" name="Column9" headerRowDxfId="306" dataDxfId="305"/>
    <tableColumn id="10" xr3:uid="{689C029E-6616-4CC2-AE1C-2ADCD03C3CAD}" name="Column10" headerRowDxfId="304" dataDxfId="303"/>
    <tableColumn id="11" xr3:uid="{0F652E99-1E2E-4EFC-B71E-3325DA891A2A}" name="Column11" headerRowDxfId="302" dataDxfId="301"/>
    <tableColumn id="12" xr3:uid="{FC548D10-DB84-4AA2-8F97-8FBCD596A21D}" name="Column12" headerRowDxfId="300" dataDxfId="299"/>
    <tableColumn id="13" xr3:uid="{7E1567BD-2E51-4623-B319-ABA4485BED6B}" name="Column13" headerRowDxfId="298" dataDxfId="297"/>
    <tableColumn id="14" xr3:uid="{F7ACC9C7-D4FA-4A3F-91E3-5ABC2BC30C53}" name="Column14" headerRowDxfId="296" dataDxfId="295"/>
    <tableColumn id="15" xr3:uid="{23F754AF-75E4-434C-B0F6-EACDB1C6FEF6}" name="Column15" headerRowDxfId="294" dataDxfId="293"/>
    <tableColumn id="16" xr3:uid="{A8B43F52-1640-4F3A-AE0C-2DCC908D5A16}" name="Column16" headerRowDxfId="292" dataDxfId="291"/>
    <tableColumn id="17" xr3:uid="{E18C66EC-343A-4EAE-AF41-92A444D0F2F2}" name="Column17" headerRowDxfId="290" dataDxfId="289"/>
    <tableColumn id="18" xr3:uid="{0D6251B0-1259-43B7-86B8-AF9F04B82FDD}" name="Column18" headerRowDxfId="288" dataDxfId="287"/>
    <tableColumn id="19" xr3:uid="{F4B6B5DE-7296-4BD4-ADE2-71E9684C9F56}" name="Column19" headerRowDxfId="286" dataDxfId="285"/>
    <tableColumn id="20" xr3:uid="{B69CA411-BC7A-4A34-BA8C-3402AE8FA3C9}" name="Column20" headerRowDxfId="284" dataDxfId="283"/>
    <tableColumn id="21" xr3:uid="{69ABDE12-BC7B-46B9-A0EC-58FBB9F86725}" name="Column21" headerRowDxfId="282" dataDxfId="281"/>
    <tableColumn id="22" xr3:uid="{41727EE0-B315-48DD-A049-490FF591A845}" name="Column22" headerRowDxfId="280" dataDxfId="279"/>
    <tableColumn id="23" xr3:uid="{7EE58D77-71B7-4342-BD9C-D858F6AEB13A}" name="Column23" headerRowDxfId="278" dataDxfId="277"/>
    <tableColumn id="24" xr3:uid="{E916D199-312C-41BA-AA78-D382A64F30E4}" name="Column24" headerRowDxfId="276" dataDxfId="275"/>
    <tableColumn id="25" xr3:uid="{F543FF99-F068-4538-BCA0-3BECDBD5DDFC}" name="Column25" headerRowDxfId="274" dataDxfId="273"/>
    <tableColumn id="26" xr3:uid="{7A66FED6-D07B-4212-B028-327EFE00EB04}" name="Column26" headerRowDxfId="272" dataDxfId="271"/>
    <tableColumn id="27" xr3:uid="{FB0C9B54-E20C-488B-A322-DEC8AC3497E8}" name="Column27" headerRowDxfId="270" dataDxfId="269"/>
    <tableColumn id="28" xr3:uid="{BE2DC478-EBE6-452C-B16E-9C4D39C070A2}" name="Column28" headerRowDxfId="268" dataDxfId="267"/>
    <tableColumn id="29" xr3:uid="{6DA826F6-A6B7-418D-B0EC-E22F0FD90144}" name="Column29" headerRowDxfId="266" dataDxfId="265"/>
    <tableColumn id="30" xr3:uid="{E93198AC-4F0A-4F67-B2E7-10223BC9FCEE}" name="Column30" headerRowDxfId="264" dataDxfId="263"/>
    <tableColumn id="31" xr3:uid="{A960027C-D973-417D-A642-10BDF7CC6580}" name="Column31" headerRowDxfId="262" dataDxfId="261"/>
    <tableColumn id="32" xr3:uid="{E95D924F-CC74-4CAC-B6D1-ADBDC56654F3}" name="Column32" headerRowDxfId="260" dataDxfId="259"/>
    <tableColumn id="33" xr3:uid="{8AF9B9A3-2AEE-4A1D-A18F-9156CF088A98}" name="Column33" headerRowDxfId="258" dataDxfId="257"/>
    <tableColumn id="34" xr3:uid="{3DFD2CA0-6199-43D0-BF33-C07D2248E86D}" name="Column34" headerRowDxfId="256" dataDxfId="255"/>
    <tableColumn id="35" xr3:uid="{9A96C481-BFDC-4C9E-AFFD-F1A7C03F8761}" name="Column35" headerRowDxfId="254" dataDxfId="253"/>
    <tableColumn id="36" xr3:uid="{3C4DC86D-BE5D-427A-AA32-D5C016B51C90}" name="Column36" headerRowDxfId="252" dataDxfId="251"/>
    <tableColumn id="37" xr3:uid="{4E2D6CCA-6ABB-424D-97AE-C140BECA00F8}" name="Column37" headerRowDxfId="250" dataDxfId="249"/>
    <tableColumn id="38" xr3:uid="{1232EB0F-9364-4307-BCE3-12B89E5E8F16}" name="Column38" headerRowDxfId="248" dataDxfId="247"/>
    <tableColumn id="39" xr3:uid="{E0FBC64B-D04C-42E4-9852-E7CBFE2D9675}" name="Column39" headerRowDxfId="246" dataDxfId="245"/>
    <tableColumn id="40" xr3:uid="{0B1D817B-8236-4286-A17E-F7D306160C51}" name="Column40" headerRowDxfId="244" dataDxfId="243"/>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1:AJ16" headerRowCount="0" totalsRowShown="0">
  <tableColumns count="36">
    <tableColumn id="1" xr3:uid="{00000000-0010-0000-0100-000001000000}" name="Column1" headerRowDxfId="1543"/>
    <tableColumn id="2" xr3:uid="{00000000-0010-0000-0100-000002000000}" name="Column2" headerRowDxfId="1542" dataDxfId="1541"/>
    <tableColumn id="3" xr3:uid="{00000000-0010-0000-0100-000003000000}" name="Column3" headerRowDxfId="1540" dataDxfId="1539"/>
    <tableColumn id="4" xr3:uid="{00000000-0010-0000-0100-000004000000}" name="Column4" headerRowDxfId="1538" dataDxfId="1537"/>
    <tableColumn id="5" xr3:uid="{00000000-0010-0000-0100-000005000000}" name="Column5" headerRowDxfId="1536" dataDxfId="1535"/>
    <tableColumn id="6" xr3:uid="{00000000-0010-0000-0100-000006000000}" name="Column6" headerRowDxfId="1534" dataDxfId="1533"/>
    <tableColumn id="7" xr3:uid="{00000000-0010-0000-0100-000007000000}" name="Column7" headerRowDxfId="1532" dataDxfId="1531"/>
    <tableColumn id="8" xr3:uid="{00000000-0010-0000-0100-000008000000}" name="Column8" headerRowDxfId="1530" dataDxfId="1529"/>
    <tableColumn id="9" xr3:uid="{00000000-0010-0000-0100-000009000000}" name="Column9" headerRowDxfId="1528" dataDxfId="1527"/>
    <tableColumn id="10" xr3:uid="{00000000-0010-0000-0100-00000A000000}" name="Column10" headerRowDxfId="1526" dataDxfId="1525"/>
    <tableColumn id="11" xr3:uid="{00000000-0010-0000-0100-00000B000000}" name="Column11" headerRowDxfId="1524" dataDxfId="1523"/>
    <tableColumn id="12" xr3:uid="{1798D73F-75DE-49CD-9006-D0471FF15A14}" name="Column12" headerRowDxfId="1522"/>
    <tableColumn id="13" xr3:uid="{5938F776-D7D6-46AA-A3DA-A70F6157015F}" name="Column13" headerRowDxfId="1521"/>
    <tableColumn id="14" xr3:uid="{5CF90A77-EF18-4811-A76A-85F4977DB067}" name="Column14" headerRowDxfId="1520"/>
    <tableColumn id="15" xr3:uid="{D1EC96DF-3608-4613-84AC-431FE2B50876}" name="Column15" headerRowDxfId="1519"/>
    <tableColumn id="16" xr3:uid="{311E09C0-9265-45E6-A95E-C2ACF52957ED}" name="Column16" headerRowDxfId="1518"/>
    <tableColumn id="17" xr3:uid="{21462F37-D4BA-414B-9B83-DA2ED7BA6C18}" name="Column17" headerRowDxfId="1517"/>
    <tableColumn id="18" xr3:uid="{60ED281B-FE44-4978-BFB0-C535C6351218}" name="Column18" headerRowDxfId="1516"/>
    <tableColumn id="19" xr3:uid="{4263F2DB-4CCC-4D18-8C53-0FE4750744C8}" name="Column19" headerRowDxfId="1515"/>
    <tableColumn id="20" xr3:uid="{9A300D00-AC69-49E1-B365-5DE61F5078A6}" name="Column20" headerRowDxfId="1514"/>
    <tableColumn id="21" xr3:uid="{6735D3C2-CDAF-416A-9E47-0FACB8A38DA5}" name="Column21" headerRowDxfId="1513"/>
    <tableColumn id="22" xr3:uid="{DB223A85-7300-4A72-AF79-BB6C725CC45A}" name="Column22" headerRowDxfId="1512"/>
    <tableColumn id="23" xr3:uid="{07289B38-5F7F-4A28-96D9-7213F6F1A745}" name="Column23" headerRowDxfId="1511"/>
    <tableColumn id="24" xr3:uid="{3F4AAC35-E5EA-4B31-897F-CF536089A448}" name="Column24" headerRowDxfId="1510"/>
    <tableColumn id="25" xr3:uid="{0BDC16A0-2F69-4A6C-A230-864561DCDD67}" name="Column25" headerRowDxfId="1509"/>
    <tableColumn id="26" xr3:uid="{E931376C-6947-4D14-90BF-BC7C69EA3AEA}" name="Column26" headerRowDxfId="1508"/>
    <tableColumn id="27" xr3:uid="{11C444D7-F1A2-4EF6-924A-BA8FC0A02043}" name="Column27" headerRowDxfId="1507"/>
    <tableColumn id="28" xr3:uid="{093D055C-9A59-4E05-A1BC-6A33E3FC1707}" name="Column28" headerRowDxfId="1506"/>
    <tableColumn id="29" xr3:uid="{3CD2AEA2-1968-4DB5-AB30-FC2717A32CF7}" name="Column29" headerRowDxfId="1505"/>
    <tableColumn id="30" xr3:uid="{5E94DA8D-52FB-4013-B637-5C97FC7C4007}" name="Column30" headerRowDxfId="1504"/>
    <tableColumn id="31" xr3:uid="{50CAB995-DB84-4DF9-80A0-F29D3B60DABA}" name="Column31" headerRowDxfId="1503"/>
    <tableColumn id="32" xr3:uid="{36346C77-C2E8-4504-9970-6580305C3201}" name="Column32" headerRowDxfId="1502"/>
    <tableColumn id="33" xr3:uid="{0351EAEC-A67D-43DE-BAC5-7489747772A9}" name="Column33" headerRowDxfId="1501"/>
    <tableColumn id="34" xr3:uid="{09B1B0D7-144E-4E0E-B803-2CD3048611B4}" name="Column34" headerRowDxfId="1500"/>
    <tableColumn id="35" xr3:uid="{73122A34-6A27-4FF6-B6FE-7EC9AE0BECA1}" name="Column35" headerRowDxfId="1499"/>
    <tableColumn id="36" xr3:uid="{7C821AE3-EFBF-4E96-8ADC-8F8C3A1BF30C}" name="Column36" headerRowDxfId="1498"/>
  </tableColumns>
  <tableStyleInfo name="Table Style 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AF7AD0C7-4373-4D14-8368-0FFDAF5DE915}" name="Table3579111719212325" displayName="Table3579111719212325" ref="A11:AN18" headerRowCount="0" totalsRowShown="0">
  <tableColumns count="40">
    <tableColumn id="1" xr3:uid="{E8EAAA2C-4A7D-4B48-9667-C4B3FB550318}" name="Column1" headerRowDxfId="242" dataDxfId="241"/>
    <tableColumn id="2" xr3:uid="{9A21B5A7-8CB7-4C8D-B16F-A0364E2F1DBB}" name="Column2" headerRowDxfId="240" dataDxfId="239"/>
    <tableColumn id="3" xr3:uid="{15DF3C9A-4829-43D5-84C9-B5E221309193}" name="Column3" headerRowDxfId="238" dataDxfId="237"/>
    <tableColumn id="4" xr3:uid="{2EC9AEDC-C531-48CB-BAA6-3FE782741EA1}" name="Column4" headerRowDxfId="236" dataDxfId="235"/>
    <tableColumn id="5" xr3:uid="{D297B319-9AA7-4589-A0F5-84A15335CD7B}" name="Column5" headerRowDxfId="234" dataDxfId="233"/>
    <tableColumn id="6" xr3:uid="{A2649E75-A851-4E58-95D6-C9E4AE09FF0A}" name="Column6" headerRowDxfId="232" dataDxfId="231"/>
    <tableColumn id="7" xr3:uid="{41C7DC1B-A858-4C2F-95B0-F473B835830C}" name="Column7" headerRowDxfId="230" dataDxfId="229"/>
    <tableColumn id="8" xr3:uid="{E68560D8-F6DE-4D64-9BFB-98B1DB77B4E2}" name="Column8" headerRowDxfId="228" dataDxfId="227"/>
    <tableColumn id="9" xr3:uid="{5D0071A0-B604-41E2-AC35-CC34807C49E8}" name="Column9" headerRowDxfId="226" dataDxfId="225"/>
    <tableColumn id="10" xr3:uid="{64FA6661-6EE5-4B70-B5AF-1CA08BA5A4E1}" name="Column10" headerRowDxfId="224" dataDxfId="223"/>
    <tableColumn id="11" xr3:uid="{8C61F992-1B32-416B-B6B6-D2254B0544F0}" name="Column11" headerRowDxfId="222" dataDxfId="221"/>
    <tableColumn id="12" xr3:uid="{433CF125-954D-4C91-8A8E-223389A0AFFF}" name="Column12" headerRowDxfId="220" dataDxfId="219"/>
    <tableColumn id="13" xr3:uid="{5B7F2505-2B2A-4498-970C-EBBCB635B82C}" name="Column13" headerRowDxfId="218" dataDxfId="217"/>
    <tableColumn id="14" xr3:uid="{78864EEC-C70D-4573-B63F-96D2525A0181}" name="Column14" headerRowDxfId="216" dataDxfId="215"/>
    <tableColumn id="15" xr3:uid="{4124815E-0E9C-4356-9FE2-885467A21E09}" name="Column15" headerRowDxfId="214" dataDxfId="213"/>
    <tableColumn id="16" xr3:uid="{C81C9345-61AF-4E81-B089-944ABB0360C9}" name="Column16" headerRowDxfId="212" dataDxfId="211"/>
    <tableColumn id="17" xr3:uid="{E836DC34-B34D-491A-AB83-6EDC1E67CBBF}" name="Column17" headerRowDxfId="210" dataDxfId="209"/>
    <tableColumn id="18" xr3:uid="{EF2B1D5D-769B-41F3-9238-9C4D6F965EE5}" name="Column18" headerRowDxfId="208" dataDxfId="207"/>
    <tableColumn id="19" xr3:uid="{8825B513-2F7F-459D-A0ED-4520AE143D94}" name="Column19" headerRowDxfId="206" dataDxfId="205"/>
    <tableColumn id="20" xr3:uid="{5C48B0FB-CFE6-4DD2-98FA-89004BA1034C}" name="Column20" headerRowDxfId="204" dataDxfId="203"/>
    <tableColumn id="21" xr3:uid="{070057D8-9E4F-4241-A20D-2533E32A6DDE}" name="Column21" headerRowDxfId="202" dataDxfId="201"/>
    <tableColumn id="22" xr3:uid="{0C5C1F1B-B996-4AA6-96E8-03FCFAC92B7D}" name="Column22" headerRowDxfId="200" dataDxfId="199"/>
    <tableColumn id="23" xr3:uid="{F576C4F0-DC71-4FA5-B5F3-44F83DD135CC}" name="Column23" headerRowDxfId="198" dataDxfId="197"/>
    <tableColumn id="24" xr3:uid="{1BE0E3B2-5BB2-4BA8-A3FE-570D8DCD7A0C}" name="Column24" headerRowDxfId="196" dataDxfId="195"/>
    <tableColumn id="25" xr3:uid="{37037B3C-9277-4806-A5FE-47841E7549B9}" name="Column25" headerRowDxfId="194" dataDxfId="193"/>
    <tableColumn id="26" xr3:uid="{A96C22C5-C2B9-4CF4-A12E-5AD604C9B5CD}" name="Column26" headerRowDxfId="192" dataDxfId="191"/>
    <tableColumn id="27" xr3:uid="{3826DD43-5AB8-4185-B059-CBC636D33DC6}" name="Column27" headerRowDxfId="190" dataDxfId="189"/>
    <tableColumn id="28" xr3:uid="{24C04DD0-14EF-4242-BA06-7649303C711D}" name="Column28" headerRowDxfId="188" dataDxfId="187"/>
    <tableColumn id="29" xr3:uid="{57B9901C-C9CC-4572-875B-523208208CE6}" name="Column29" headerRowDxfId="186" dataDxfId="185"/>
    <tableColumn id="30" xr3:uid="{434CA759-57A3-4E17-89AA-C36CD3F89116}" name="Column30" headerRowDxfId="184" dataDxfId="183"/>
    <tableColumn id="31" xr3:uid="{52E92728-6BCD-46D3-874C-B1826535AB84}" name="Column31" headerRowDxfId="182" dataDxfId="181"/>
    <tableColumn id="32" xr3:uid="{1AD5A23B-2EEC-4680-BD18-DCA046EF3789}" name="Column32" headerRowDxfId="180" dataDxfId="179"/>
    <tableColumn id="33" xr3:uid="{044C1D20-E8D3-4E87-89FF-048DD5D66F7C}" name="Column33" headerRowDxfId="178" dataDxfId="177"/>
    <tableColumn id="34" xr3:uid="{390C2705-15C9-4B25-AC8A-963DB3BA383C}" name="Column34" headerRowDxfId="176" dataDxfId="175"/>
    <tableColumn id="35" xr3:uid="{D18EA1E7-9931-4884-93F1-A84C7F7FABCA}" name="Column35" headerRowDxfId="174" dataDxfId="173"/>
    <tableColumn id="36" xr3:uid="{590DB3E6-D5C3-4150-9F78-B5B65862DA9C}" name="Column36" headerRowDxfId="172" dataDxfId="171"/>
    <tableColumn id="37" xr3:uid="{2EF21418-0516-4216-83D1-4AB983088EA6}" name="Column37" headerRowDxfId="170" dataDxfId="169"/>
    <tableColumn id="38" xr3:uid="{FE798EFF-038D-4DA6-A67E-C4659EA83A0F}" name="Column38" headerRowDxfId="168" dataDxfId="167"/>
    <tableColumn id="39" xr3:uid="{B6995559-03B6-467A-904E-B3E0E662C4FE}" name="Column39" headerRowDxfId="166" dataDxfId="165"/>
    <tableColumn id="40" xr3:uid="{7FD5B3EE-1193-4895-8B4E-8D179893DF3D}" name="Column40" headerRowDxfId="164" dataDxfId="163"/>
  </tableColumns>
  <tableStyleInfo name="Table Style 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2000000}" name="Table12" displayName="Table12" ref="A7:AC9" headerRowCount="0" totalsRowShown="0" headerRowDxfId="159" headerRowBorderDxfId="158" tableBorderDxfId="157" totalsRowBorderDxfId="156">
  <tableColumns count="29">
    <tableColumn id="1" xr3:uid="{00000000-0010-0000-0200-000001000000}" name="Column1" headerRowDxfId="155" dataDxfId="154"/>
    <tableColumn id="2" xr3:uid="{00000000-0010-0000-0200-000002000000}" name="Column2" headerRowDxfId="153" dataDxfId="152"/>
    <tableColumn id="3" xr3:uid="{00000000-0010-0000-0200-000003000000}" name="Column3" headerRowDxfId="151" dataDxfId="150"/>
    <tableColumn id="4" xr3:uid="{00000000-0010-0000-0200-000004000000}" name="Column4" headerRowDxfId="149" dataDxfId="148"/>
    <tableColumn id="5" xr3:uid="{00000000-0010-0000-0200-000005000000}" name="Column5" headerRowDxfId="147" dataDxfId="146"/>
    <tableColumn id="6" xr3:uid="{00000000-0010-0000-0200-000006000000}" name="Column6" headerRowDxfId="145" dataDxfId="144"/>
    <tableColumn id="7" xr3:uid="{00000000-0010-0000-0200-000007000000}" name="Column7" headerRowDxfId="143" dataDxfId="142"/>
    <tableColumn id="8" xr3:uid="{00000000-0010-0000-0200-000008000000}" name="Column8" headerRowDxfId="141" dataDxfId="140"/>
    <tableColumn id="9" xr3:uid="{00000000-0010-0000-0200-000009000000}" name="Column9" headerRowDxfId="139" dataDxfId="138"/>
    <tableColumn id="10" xr3:uid="{00000000-0010-0000-0200-00000A000000}" name="Column10" headerRowDxfId="137" dataDxfId="136"/>
    <tableColumn id="11" xr3:uid="{00000000-0010-0000-0200-00000B000000}" name="Column11" headerRowDxfId="135" dataDxfId="134"/>
    <tableColumn id="12" xr3:uid="{B76770C9-8A73-4071-B5AB-9739DE9E6E53}" name="Column12" headerRowDxfId="133" dataDxfId="132"/>
    <tableColumn id="13" xr3:uid="{9407FD3D-1ED9-4CF2-9C96-47B158551D4F}" name="Column13" headerRowDxfId="131" dataDxfId="130"/>
    <tableColumn id="14" xr3:uid="{18E5C969-37AD-4346-8D28-976E59E80C07}" name="Column14" headerRowDxfId="129" dataDxfId="128"/>
    <tableColumn id="15" xr3:uid="{3E187A63-20B7-41A2-9B1D-16C22D688C5C}" name="Column15" headerRowDxfId="127" dataDxfId="126"/>
    <tableColumn id="16" xr3:uid="{9992F048-4C5F-41DA-872C-023DE5476D42}" name="Column16" headerRowDxfId="125" dataDxfId="124"/>
    <tableColumn id="17" xr3:uid="{B6BEBF6D-DC1A-4CF1-9B11-503A7D21E49E}" name="Column17" headerRowDxfId="123" dataDxfId="122"/>
    <tableColumn id="18" xr3:uid="{17A7FF4C-AF07-4070-B542-9AF68EE0E886}" name="Column18" headerRowDxfId="121" dataDxfId="120"/>
    <tableColumn id="19" xr3:uid="{219A7EFD-93B1-4925-85E2-726D3B4C79CB}" name="Column19" headerRowDxfId="119" dataDxfId="118"/>
    <tableColumn id="20" xr3:uid="{1A4D9F57-4746-4190-8584-9542322C513E}" name="Column20" headerRowDxfId="117" dataDxfId="116"/>
    <tableColumn id="21" xr3:uid="{BC713DC2-71B0-4E62-AD1D-E803CDDA182C}" name="Column21" headerRowDxfId="115" dataDxfId="114"/>
    <tableColumn id="22" xr3:uid="{42BA8F2B-D832-4F5B-A791-6C3472E4774A}" name="Column22" headerRowDxfId="113" dataDxfId="112"/>
    <tableColumn id="23" xr3:uid="{00CDE55D-044B-4D3C-AD52-03E325594BAD}" name="Column23" headerRowDxfId="111" dataDxfId="110"/>
    <tableColumn id="24" xr3:uid="{4E46382F-B40F-4C68-BB97-862AD8AE208B}" name="Column24" headerRowDxfId="109" dataDxfId="108"/>
    <tableColumn id="25" xr3:uid="{E9A50675-E456-46A4-ADBE-82BDF63F7AC4}" name="Column25" headerRowDxfId="107" dataDxfId="106"/>
    <tableColumn id="26" xr3:uid="{D50F41FE-24A9-4D60-9301-F76B16FDD5D3}" name="Column26" headerRowDxfId="105" dataDxfId="104"/>
    <tableColumn id="27" xr3:uid="{192620EF-27DB-4BD5-A8FB-BF791B255995}" name="Column27" headerRowDxfId="103" dataDxfId="102"/>
    <tableColumn id="28" xr3:uid="{DB28DA1B-23E0-4680-BB13-1D0D3C31ABB7}" name="Column28" headerRowDxfId="101" dataDxfId="100"/>
    <tableColumn id="29" xr3:uid="{65331BF4-B850-4185-9EEC-543907990B11}" name="Column29" headerRowDxfId="99" dataDxfId="98"/>
  </tableColumns>
  <tableStyleInfo name="Table Style 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Table13" displayName="Table13" ref="A11:AC15" headerRowCount="0" totalsRowShown="0" headerRowDxfId="97" headerRowBorderDxfId="96" tableBorderDxfId="95" totalsRowBorderDxfId="94">
  <tableColumns count="29">
    <tableColumn id="1" xr3:uid="{00000000-0010-0000-0300-000001000000}" name="Column1" headerRowDxfId="93" dataDxfId="92"/>
    <tableColumn id="2" xr3:uid="{00000000-0010-0000-0300-000002000000}" name="Column2" headerRowDxfId="91" dataDxfId="90"/>
    <tableColumn id="3" xr3:uid="{00000000-0010-0000-0300-000003000000}" name="Column3" headerRowDxfId="89" dataDxfId="88"/>
    <tableColumn id="4" xr3:uid="{00000000-0010-0000-0300-000004000000}" name="Column4" headerRowDxfId="87" dataDxfId="86"/>
    <tableColumn id="5" xr3:uid="{00000000-0010-0000-0300-000005000000}" name="Column5" headerRowDxfId="85" dataDxfId="84"/>
    <tableColumn id="6" xr3:uid="{00000000-0010-0000-0300-000006000000}" name="Column6" headerRowDxfId="83" dataDxfId="82"/>
    <tableColumn id="7" xr3:uid="{00000000-0010-0000-0300-000007000000}" name="Column7" headerRowDxfId="81" dataDxfId="80"/>
    <tableColumn id="8" xr3:uid="{00000000-0010-0000-0300-000008000000}" name="Column8" headerRowDxfId="79" dataDxfId="78"/>
    <tableColumn id="9" xr3:uid="{00000000-0010-0000-0300-000009000000}" name="Column9" headerRowDxfId="77" dataDxfId="76"/>
    <tableColumn id="10" xr3:uid="{00000000-0010-0000-0300-00000A000000}" name="Column10" headerRowDxfId="75" dataDxfId="74"/>
    <tableColumn id="11" xr3:uid="{00000000-0010-0000-0300-00000B000000}" name="Column11" headerRowDxfId="73" dataDxfId="72"/>
    <tableColumn id="12" xr3:uid="{12A0B4D3-426F-4EDF-BEAC-CAB27CD35057}" name="Column12" headerRowDxfId="71" dataDxfId="70"/>
    <tableColumn id="13" xr3:uid="{F82E77A8-D69F-48EF-BF57-AF007608D2A4}" name="Column13" headerRowDxfId="69" dataDxfId="68"/>
    <tableColumn id="14" xr3:uid="{EEEACC1E-5656-4AF5-9A9E-C032CF307FA9}" name="Column14" headerRowDxfId="67" dataDxfId="66"/>
    <tableColumn id="15" xr3:uid="{6EC3664D-ABBE-4509-8C50-2C759189D029}" name="Column15" headerRowDxfId="65" dataDxfId="64"/>
    <tableColumn id="16" xr3:uid="{009118EB-66F1-4F78-8A92-0B1C683CAAE5}" name="Column16" headerRowDxfId="63" dataDxfId="62"/>
    <tableColumn id="17" xr3:uid="{79D82313-BBCD-41B7-AE1D-450199680B78}" name="Column17" headerRowDxfId="61" dataDxfId="60"/>
    <tableColumn id="18" xr3:uid="{DFF5E361-8D39-4239-B385-5B8AFC063BC5}" name="Column18" headerRowDxfId="59" dataDxfId="58"/>
    <tableColumn id="19" xr3:uid="{37FBA543-A1DE-4379-9A2D-1ED9813C848C}" name="Column19" headerRowDxfId="57" dataDxfId="56"/>
    <tableColumn id="20" xr3:uid="{BEA3CC88-7D34-45FE-987A-5658C4C01CC8}" name="Column20" headerRowDxfId="55" dataDxfId="54"/>
    <tableColumn id="21" xr3:uid="{882A2C68-F6B4-4B27-9C93-3FB7C5303388}" name="Column21" headerRowDxfId="53" dataDxfId="52"/>
    <tableColumn id="22" xr3:uid="{1DB9926D-D6D4-4F10-9CA0-E01CAE8B154C}" name="Column22" headerRowDxfId="51" dataDxfId="50"/>
    <tableColumn id="23" xr3:uid="{E3A44965-1DD5-4FB9-B5DB-88EEC3BA7151}" name="Column23" headerRowDxfId="49" dataDxfId="48"/>
    <tableColumn id="24" xr3:uid="{24CE25FF-110C-4C34-A7ED-A244022BC354}" name="Column24" headerRowDxfId="47" dataDxfId="46"/>
    <tableColumn id="25" xr3:uid="{8F3B74AC-E5EF-4F78-9B72-B4ABF2AF10D5}" name="Column25" headerRowDxfId="45" dataDxfId="44"/>
    <tableColumn id="26" xr3:uid="{3242DEC9-9BFB-4E7A-BB3B-E1D0B7B75FF6}" name="Column26" headerRowDxfId="43" dataDxfId="42"/>
    <tableColumn id="27" xr3:uid="{7C834568-E1FE-48A2-801C-8FEFDD321AC2}" name="Column27" headerRowDxfId="41" dataDxfId="40"/>
    <tableColumn id="28" xr3:uid="{6D5F4482-A86A-4FF5-9262-26BC7C4B5EF3}" name="Column28" headerRowDxfId="39" dataDxfId="38"/>
    <tableColumn id="29" xr3:uid="{10B3A757-CC5F-41A8-A48D-92720B98172E}" name="Column29" headerRowDxfId="37" dataDxfId="36"/>
  </tableColumns>
  <tableStyleInfo name="Table Style 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D4663C9A-0199-432C-8C07-F03327024315}" name="Table14" displayName="Table14" ref="A1:C14" totalsRowShown="0" headerRowDxfId="35" headerRowBorderDxfId="34" tableBorderDxfId="33" totalsRowBorderDxfId="32">
  <autoFilter ref="A1:C14" xr:uid="{00000000-0009-0000-0100-00000E000000}">
    <filterColumn colId="0" hiddenButton="1"/>
    <filterColumn colId="1" hiddenButton="1"/>
    <filterColumn colId="2" hiddenButton="1"/>
  </autoFilter>
  <tableColumns count="3">
    <tableColumn id="1" xr3:uid="{00B07599-03BB-4D29-BB82-5F14FEAF483D}" name="Milestone reference" dataDxfId="31"/>
    <tableColumn id="2" xr3:uid="{1B054CA8-9564-4FA0-93C8-82198375F73D}" name="Rehabilitation milestone" dataDxfId="30"/>
    <tableColumn id="3" xr3:uid="{CAC13839-8C19-4CC0-935F-C671E253BF76}" name="Milestone criteria" dataDxfId="29"/>
  </tableColumns>
  <tableStyleInfo name="Table Style 3"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D1139BFE-A63E-4361-B3D4-4C4679CD36C3}" name="Table15" displayName="Table15" ref="A1:C11" totalsRowShown="0" headerRowDxfId="28" headerRowBorderDxfId="27" tableBorderDxfId="26" totalsRowBorderDxfId="25">
  <autoFilter ref="A1:C11" xr:uid="{00000000-0009-0000-0100-00000F000000}">
    <filterColumn colId="0" hiddenButton="1"/>
    <filterColumn colId="1" hiddenButton="1"/>
    <filterColumn colId="2" hiddenButton="1"/>
  </autoFilter>
  <tableColumns count="3">
    <tableColumn id="1" xr3:uid="{B4406CFC-61F5-4C04-BF29-76153BE691D5}" name="Milestone reference" dataDxfId="24"/>
    <tableColumn id="2" xr3:uid="{DC429F51-CAC5-4159-AEC8-236F44552C85}" name="Management milestone" dataDxfId="23"/>
    <tableColumn id="3" xr3:uid="{E726B88A-50A8-4209-A052-6954704A2E7A}" name="Milestone criteria" dataDxfId="22"/>
  </tableColumns>
  <tableStyleInfo name="Table Style 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143CC6D-7768-4627-8F90-1237E0E4F140}" name="Table22" displayName="Table22" ref="A7:AN9" headerRowCount="0" totalsRowShown="0" headerRowDxfId="1491" headerRowBorderDxfId="1490" tableBorderDxfId="1489" totalsRowBorderDxfId="1488">
  <tableColumns count="40">
    <tableColumn id="1" xr3:uid="{8EF71A78-CFA1-4177-8BFE-C8FCAFCC5FFB}" name="Column1" headerRowDxfId="1487" dataDxfId="1486"/>
    <tableColumn id="2" xr3:uid="{ACA73D83-C8B6-45DA-880E-38EEC29D8B20}" name="Column2" headerRowDxfId="1485" dataDxfId="1484"/>
    <tableColumn id="3" xr3:uid="{E353ADFE-0613-423D-A4C9-6FFCEC6E17A3}" name="Column3" headerRowDxfId="1483" dataDxfId="1482"/>
    <tableColumn id="4" xr3:uid="{65883C83-1698-4AF9-B712-65B3774E8D5F}" name="Column4" headerRowDxfId="1481" dataDxfId="1480"/>
    <tableColumn id="5" xr3:uid="{35A60016-F927-4DF3-A1B7-D0F4078D1026}" name="Column5" headerRowDxfId="1479" dataDxfId="1478"/>
    <tableColumn id="6" xr3:uid="{DBC66B83-2B6B-4005-995A-D653D8F7536F}" name="Column6" headerRowDxfId="1477" dataDxfId="1476"/>
    <tableColumn id="7" xr3:uid="{11D30FAC-4CB0-4AB9-B437-2B65489C25FF}" name="Column7" headerRowDxfId="1475" dataDxfId="1474"/>
    <tableColumn id="8" xr3:uid="{90EC130D-C34F-4FED-9464-E7849C8CA710}" name="Column8" headerRowDxfId="1473" dataDxfId="1472"/>
    <tableColumn id="9" xr3:uid="{85D40889-6CAF-44AA-9295-866CE9119DDF}" name="Column9" headerRowDxfId="1471" dataDxfId="1470"/>
    <tableColumn id="10" xr3:uid="{72EE84E9-831D-4CD4-9AB8-77151C606097}" name="Column10" headerRowDxfId="1469" dataDxfId="1468"/>
    <tableColumn id="11" xr3:uid="{58B7C18D-15B5-4124-9FC9-0713E0A935DC}" name="Column11" headerRowDxfId="1467" dataDxfId="1466"/>
    <tableColumn id="12" xr3:uid="{C0CF07F3-6338-423F-ACCF-E910C75BE224}" name="Column12" headerRowDxfId="1465" dataDxfId="1464"/>
    <tableColumn id="13" xr3:uid="{03B63F9D-7AC3-45BE-9103-ECA82599F2B4}" name="Column13" headerRowDxfId="1463" dataDxfId="1462"/>
    <tableColumn id="14" xr3:uid="{39850574-6D86-4B27-96E7-D74038C74108}" name="Column14" headerRowDxfId="1461" dataDxfId="1460"/>
    <tableColumn id="15" xr3:uid="{07C82028-EF93-425E-B3EF-FB38FADA387B}" name="Column15" headerRowDxfId="1459" dataDxfId="1458"/>
    <tableColumn id="16" xr3:uid="{87E214CF-205B-4D04-8767-60018D7E8379}" name="Column16" headerRowDxfId="1457" dataDxfId="1456"/>
    <tableColumn id="17" xr3:uid="{E846B8B2-0C9D-400F-98AB-4236821BCCCC}" name="Column17" headerRowDxfId="1455" dataDxfId="1454"/>
    <tableColumn id="18" xr3:uid="{B9CD9D15-436B-4B65-A0C7-913CF0BA8C9E}" name="Column18" headerRowDxfId="1453" dataDxfId="1452"/>
    <tableColumn id="19" xr3:uid="{FA8F2FCB-20A3-4085-AE32-607D0632A94F}" name="Column19" headerRowDxfId="1451" dataDxfId="1450"/>
    <tableColumn id="20" xr3:uid="{A1677EA4-D07C-4B2A-BB15-F1D90E6D11EF}" name="Column20" headerRowDxfId="1449" dataDxfId="1448"/>
    <tableColumn id="21" xr3:uid="{4AAEB7FD-0286-4B1A-999F-A6CB7DA157D1}" name="Column21" headerRowDxfId="1447" dataDxfId="1446"/>
    <tableColumn id="22" xr3:uid="{55807A41-F983-47BA-A86F-CB1101617AF1}" name="Column22" headerRowDxfId="1445" dataDxfId="1444"/>
    <tableColumn id="23" xr3:uid="{31271DDD-CF0B-4D7C-A55B-27B028067EF0}" name="Column23" headerRowDxfId="1443" dataDxfId="1442"/>
    <tableColumn id="24" xr3:uid="{A76B324A-D654-4ADC-88D9-A9F04EEBE1F5}" name="Column24" headerRowDxfId="1441" dataDxfId="1440"/>
    <tableColumn id="25" xr3:uid="{D557ED4A-1199-4627-B6E9-3B5AC97DCA12}" name="Column25" headerRowDxfId="1439" dataDxfId="1438"/>
    <tableColumn id="26" xr3:uid="{99316904-A1BC-41B8-993E-76818F45CBB3}" name="Column26" headerRowDxfId="1437" dataDxfId="1436"/>
    <tableColumn id="27" xr3:uid="{2AFCA172-A005-4684-ADD6-74FC07F08483}" name="Column27" headerRowDxfId="1435" dataDxfId="1434"/>
    <tableColumn id="28" xr3:uid="{F1561FC6-7F15-462F-B9B6-089382659556}" name="Column28" headerRowDxfId="1433" dataDxfId="1432"/>
    <tableColumn id="29" xr3:uid="{34440DC5-4E97-4467-A7D1-BE1FD09E315C}" name="Column29" headerRowDxfId="1431" dataDxfId="1430"/>
    <tableColumn id="30" xr3:uid="{E66639E4-D85A-4C55-951E-A1004C687B8B}" name="Column30" headerRowDxfId="1429" dataDxfId="1428"/>
    <tableColumn id="31" xr3:uid="{B8102696-86C4-45BF-9EA0-2FACAA561816}" name="Column31" headerRowDxfId="1427" dataDxfId="1426"/>
    <tableColumn id="32" xr3:uid="{1C71C83B-00D3-4235-BD78-CEC0D2E9D6AE}" name="Column32" headerRowDxfId="1425" dataDxfId="1424"/>
    <tableColumn id="33" xr3:uid="{8E4D7791-BA50-4E4D-85D1-88C9223ED7B2}" name="Column33" headerRowDxfId="1423" dataDxfId="1422"/>
    <tableColumn id="34" xr3:uid="{B06A0B73-F974-42F7-A173-5E5AB3D76B27}" name="Column34" headerRowDxfId="1421" dataDxfId="1420"/>
    <tableColumn id="35" xr3:uid="{25661ABD-E2DC-49F0-8063-0E102958EAB6}" name="Column35" headerRowDxfId="1419" dataDxfId="1418"/>
    <tableColumn id="36" xr3:uid="{E767CF18-3755-489D-83E8-23DF8E8605E2}" name="Column36" headerRowDxfId="1417" dataDxfId="1416"/>
    <tableColumn id="37" xr3:uid="{811A98F4-11AA-4339-A2E0-D34BAC0B7D13}" name="Column37" headerRowDxfId="1415" dataDxfId="1414"/>
    <tableColumn id="38" xr3:uid="{CC4EB05A-820B-4900-9D23-8811680B5158}" name="Column38" headerRowDxfId="1413" dataDxfId="1412"/>
    <tableColumn id="39" xr3:uid="{4582E982-15C3-4275-BF7E-934E08EB490B}" name="Column39" headerRowDxfId="1411" dataDxfId="1410"/>
    <tableColumn id="40" xr3:uid="{A455769A-FD24-4531-BD29-B8EFEDC1CB4E}" name="Column40" headerRowDxfId="1409" dataDxfId="1408"/>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39E8FDE6-001A-4C6C-85B3-6C3533FC12F3}" name="Table326" displayName="Table326" ref="A11:AN15" headerRowCount="0" totalsRowShown="0">
  <tableColumns count="40">
    <tableColumn id="1" xr3:uid="{23060982-B31C-40C6-A6C0-32F52920D28E}" name="Column1" headerRowDxfId="1407"/>
    <tableColumn id="2" xr3:uid="{BB8E4946-6AD7-436C-AFB0-99E065EE9780}" name="Column2" headerRowDxfId="1406"/>
    <tableColumn id="3" xr3:uid="{A7E1081B-3F50-4B5C-A9A1-1ACE630659A2}" name="Column3" headerRowDxfId="1405"/>
    <tableColumn id="4" xr3:uid="{3BF49E04-47DC-438D-81BE-A9BF752706C1}" name="Column4" headerRowDxfId="1404"/>
    <tableColumn id="5" xr3:uid="{698530B5-D2BE-4039-98B8-B88DB369107B}" name="Column5" headerRowDxfId="1403"/>
    <tableColumn id="6" xr3:uid="{15D476A2-EE7A-44F8-B02A-FDFBED333CAF}" name="Column6" headerRowDxfId="1402"/>
    <tableColumn id="7" xr3:uid="{6B0CA808-BA22-4D0E-8C37-76173DC1DE0A}" name="Column7" headerRowDxfId="1401"/>
    <tableColumn id="8" xr3:uid="{DD127836-029E-45AB-AF02-754A3EC0E418}" name="Column8" headerRowDxfId="1400"/>
    <tableColumn id="9" xr3:uid="{52DB1213-A245-4504-B36E-CC027CD770B7}" name="Column9" headerRowDxfId="1399"/>
    <tableColumn id="10" xr3:uid="{B7493D3D-C980-4842-B04C-C71917B7D229}" name="Column10" headerRowDxfId="1398"/>
    <tableColumn id="11" xr3:uid="{787B58A1-ABAF-41D0-9B04-F1B6EBD1A0A8}" name="Column11" headerRowDxfId="1397"/>
    <tableColumn id="12" xr3:uid="{A9E3AB40-BEFF-4EF6-BC2C-B246B7AF4C37}" name="Column12" headerRowDxfId="1396" dataDxfId="1395"/>
    <tableColumn id="13" xr3:uid="{D227F078-C8E0-4A82-8D00-1259EAFC2980}" name="Column13" headerRowDxfId="1394" dataDxfId="1393"/>
    <tableColumn id="14" xr3:uid="{9CB9D92E-4AE0-4B41-9371-005E83D6C983}" name="Column14" headerRowDxfId="1392" dataDxfId="1391"/>
    <tableColumn id="15" xr3:uid="{0558AC29-F929-4057-B2F1-8E1DE1B57AFB}" name="Column15" headerRowDxfId="1390" dataDxfId="1389"/>
    <tableColumn id="16" xr3:uid="{280631B2-47A6-469B-9458-14F135398D6C}" name="Column16" headerRowDxfId="1388" dataDxfId="1387"/>
    <tableColumn id="17" xr3:uid="{0B8506A4-746C-4C36-8C6B-2DF702B8254F}" name="Column17" headerRowDxfId="1386" dataDxfId="1385"/>
    <tableColumn id="18" xr3:uid="{D8A5202A-19B7-4974-9736-E34CB7EC10B2}" name="Column18" headerRowDxfId="1384" dataDxfId="1383"/>
    <tableColumn id="19" xr3:uid="{961F26F9-CD7E-4E6A-9C9F-92FC2C8B5D7B}" name="Column19" headerRowDxfId="1382" dataDxfId="1381"/>
    <tableColumn id="20" xr3:uid="{57616CBC-056C-475D-AA23-4A6B58113B5C}" name="Column20" headerRowDxfId="1380" dataDxfId="1379"/>
    <tableColumn id="21" xr3:uid="{BD77BE5C-3E8F-4BBC-AD23-97E788F45A60}" name="Column21" headerRowDxfId="1378" dataDxfId="1377"/>
    <tableColumn id="22" xr3:uid="{2BD4773F-5C71-4989-963A-8971CBA42D28}" name="Column22" headerRowDxfId="1376" dataDxfId="1375"/>
    <tableColumn id="23" xr3:uid="{4934F13E-EDE8-436B-82F1-F5CFC10142BF}" name="Column23" headerRowDxfId="1374"/>
    <tableColumn id="24" xr3:uid="{B72A802F-8282-4668-93D4-AE94A2CAA263}" name="Column24" headerRowDxfId="1373"/>
    <tableColumn id="25" xr3:uid="{C70F7303-E6F6-46A8-A7B9-41C31B796363}" name="Column25" headerRowDxfId="1372"/>
    <tableColumn id="26" xr3:uid="{1BF6673E-6290-4BAE-A7CB-F65AF1C7ABEC}" name="Column26" headerRowDxfId="1371"/>
    <tableColumn id="27" xr3:uid="{F1AA88F9-37EC-4056-9C68-8E7018007C9C}" name="Column27" headerRowDxfId="1370"/>
    <tableColumn id="28" xr3:uid="{2A301CBF-DC23-4001-B995-A1420DDE2E9C}" name="Column28" headerRowDxfId="1369"/>
    <tableColumn id="29" xr3:uid="{F3AE2E9D-025A-4F5B-AF51-2E6D8C323F94}" name="Column29" headerRowDxfId="1368"/>
    <tableColumn id="30" xr3:uid="{C39BCA6B-005A-48AA-8E90-3FFBC2F2757F}" name="Column30" headerRowDxfId="1367" dataDxfId="1366"/>
    <tableColumn id="31" xr3:uid="{FB154AE6-54B5-476C-AEB0-07749D5B2342}" name="Column31" headerRowDxfId="1365" dataDxfId="1364"/>
    <tableColumn id="32" xr3:uid="{6DA10353-530E-45BB-9AEE-17EFDB289CE2}" name="Column32" headerRowDxfId="1363" dataDxfId="1362"/>
    <tableColumn id="33" xr3:uid="{33993640-0DE3-4190-8654-E4E7488E6F53}" name="Column33" headerRowDxfId="1361"/>
    <tableColumn id="34" xr3:uid="{29C27EBA-0994-44D2-B4E6-7891885BDBCA}" name="Column34" headerRowDxfId="1360"/>
    <tableColumn id="35" xr3:uid="{4BBC2C2A-8197-460A-A5F3-646912C8CD37}" name="Column35" headerRowDxfId="1359"/>
    <tableColumn id="36" xr3:uid="{ECE73D36-C331-4B2E-BB71-9A9002677435}" name="Column36" headerRowDxfId="1358"/>
    <tableColumn id="37" xr3:uid="{22472449-CED7-47BF-B43A-4558A93251BE}" name="Column37" headerRowDxfId="1357"/>
    <tableColumn id="38" xr3:uid="{EBDE12C8-B881-4081-B6B9-542499A452B1}" name="Column38" headerRowDxfId="1356"/>
    <tableColumn id="39" xr3:uid="{EAF6D2D7-E01E-46B3-A6C3-E064C9B1B3CD}" name="Column39" headerRowDxfId="1355"/>
    <tableColumn id="40" xr3:uid="{92145B15-AC43-4EB2-87CA-B0B806772DF7}" name="Column40" headerRowDxfId="1354"/>
  </tableColumns>
  <tableStyleInfo name="Table Sty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AE85800-BC8B-41A9-88AA-7CC4F1317A5D}" name="Table226" displayName="Table226" ref="A7:AK9" headerRowCount="0" totalsRowShown="0" headerRowDxfId="1347" headerRowBorderDxfId="1346" tableBorderDxfId="1345" totalsRowBorderDxfId="1344">
  <tableColumns count="37">
    <tableColumn id="1" xr3:uid="{BD7EE4EC-2ADC-423B-8F99-070DFF039335}" name="Column1" headerRowDxfId="1343" dataDxfId="1342"/>
    <tableColumn id="2" xr3:uid="{4864B9BB-8495-4B23-8513-D9E15DAC8EB5}" name="Column2" headerRowDxfId="1341" dataDxfId="1340"/>
    <tableColumn id="3" xr3:uid="{32EA9383-7C61-424F-A750-38CEF1D48F0D}" name="Column3" headerRowDxfId="1339" dataDxfId="1338"/>
    <tableColumn id="4" xr3:uid="{B8632706-CEB3-4B2A-82C9-A0215EA3F5F3}" name="Column4" headerRowDxfId="1337" dataDxfId="1336"/>
    <tableColumn id="5" xr3:uid="{1F97A2A9-35B5-4B43-AEFB-B5F9B1E378B3}" name="Column5" headerRowDxfId="1335" dataDxfId="1334"/>
    <tableColumn id="6" xr3:uid="{FCBEBA83-9D24-41FD-AAAC-2623D24C0BDD}" name="Column6" headerRowDxfId="1333" dataDxfId="1332"/>
    <tableColumn id="7" xr3:uid="{9AE9C541-AC3A-4F15-8208-54627E780F4C}" name="Column7" headerRowDxfId="1331" dataDxfId="1330"/>
    <tableColumn id="8" xr3:uid="{4F139BF6-357A-4096-828C-79921E1C5F73}" name="Column8" headerRowDxfId="1329" dataDxfId="1328"/>
    <tableColumn id="9" xr3:uid="{E9621FA9-B440-41B0-B03F-B61FA462E9B6}" name="Column9" headerRowDxfId="1327" dataDxfId="1326"/>
    <tableColumn id="10" xr3:uid="{D93026CE-19AF-4629-86D5-10154E01F900}" name="Column10" headerRowDxfId="1325" dataDxfId="1324"/>
    <tableColumn id="11" xr3:uid="{DA41C842-5AD1-4B7E-BA83-465EBA50BB11}" name="Column11" headerRowDxfId="1323" dataDxfId="1322"/>
    <tableColumn id="12" xr3:uid="{B5772DB0-F2B8-40B0-BEDF-4935932BCB91}" name="Column12" headerRowDxfId="1321" dataDxfId="1320"/>
    <tableColumn id="13" xr3:uid="{0A0A49C1-1581-4619-BCDF-5AAC46299897}" name="Column13" headerRowDxfId="1319" dataDxfId="1318"/>
    <tableColumn id="14" xr3:uid="{145EBC3E-6210-429A-A048-CBC2B36347CB}" name="Column14" headerRowDxfId="1317" dataDxfId="1316"/>
    <tableColumn id="15" xr3:uid="{D7CA3C61-A569-4250-9E48-E8AFD118F4FB}" name="Column15" headerRowDxfId="1315" dataDxfId="1314"/>
    <tableColumn id="16" xr3:uid="{D75F9BD8-9C23-4C68-BD72-B540DC044BF0}" name="Column16" headerRowDxfId="1313" dataDxfId="1312"/>
    <tableColumn id="17" xr3:uid="{69BB3DDF-84A8-441C-B8A5-957F7CBC6898}" name="Column17" headerRowDxfId="1311" dataDxfId="1310"/>
    <tableColumn id="18" xr3:uid="{A35D9C53-6DE1-4C47-AD05-667A36E832E9}" name="Column18" headerRowDxfId="1309" dataDxfId="1308"/>
    <tableColumn id="19" xr3:uid="{89461F8E-92B2-4D44-9872-41AE71862FF3}" name="Column19" headerRowDxfId="1307" dataDxfId="1306"/>
    <tableColumn id="20" xr3:uid="{D2B44F4C-6E3F-4192-B929-F094E4746231}" name="Column20" headerRowDxfId="1305" dataDxfId="1304"/>
    <tableColumn id="21" xr3:uid="{7194BC5B-8919-4688-B28F-6341B418B677}" name="Column21" headerRowDxfId="1303" dataDxfId="1302"/>
    <tableColumn id="22" xr3:uid="{7685101F-FFED-46FA-BC53-3F48F380D8C0}" name="Column22" headerRowDxfId="1301" dataDxfId="1300"/>
    <tableColumn id="23" xr3:uid="{5B441987-B4CE-4ED6-A804-A400EC42FE70}" name="Column23" headerRowDxfId="1299" dataDxfId="1298"/>
    <tableColumn id="24" xr3:uid="{6A60D7BF-347A-4B8D-9696-0FA4E105662B}" name="Column24" headerRowDxfId="1297" dataDxfId="1296"/>
    <tableColumn id="25" xr3:uid="{EBE22CFF-622A-407D-8744-F602E438C899}" name="Column25" headerRowDxfId="1295" dataDxfId="1294"/>
    <tableColumn id="26" xr3:uid="{3CD5E500-E61F-45D1-A9C7-0024CF4A5C46}" name="Column26" headerRowDxfId="1293" dataDxfId="1292"/>
    <tableColumn id="27" xr3:uid="{FD1EBA82-D001-4602-9BCD-05A110FAF1F7}" name="Column27" headerRowDxfId="1291" dataDxfId="1290"/>
    <tableColumn id="28" xr3:uid="{508A8615-ADD1-43BD-80FC-56AF5BA34D60}" name="Column28" headerRowDxfId="1289" dataDxfId="1288"/>
    <tableColumn id="29" xr3:uid="{BF4BFC35-B92C-49E7-AE3F-6328B8E9DEEB}" name="Column29" headerRowDxfId="1287" dataDxfId="1286"/>
    <tableColumn id="30" xr3:uid="{4FB5B72F-79BA-4A66-8EBE-17CD98E87B16}" name="Column30" headerRowDxfId="1285" dataDxfId="1284"/>
    <tableColumn id="31" xr3:uid="{AD6BEFF0-AC1B-4442-ABB1-7ADB58390B2B}" name="Column31" headerRowDxfId="1283" dataDxfId="1282"/>
    <tableColumn id="32" xr3:uid="{960655F3-F97B-44E2-8E14-09E00EF2548F}" name="Column32" headerRowDxfId="1281" dataDxfId="1280"/>
    <tableColumn id="33" xr3:uid="{C930928D-EE30-406A-8C27-E2AAFE9CB4AC}" name="Column33" headerRowDxfId="1279" dataDxfId="1278"/>
    <tableColumn id="34" xr3:uid="{06AB3091-805D-4F1C-AE0E-324332FB29D2}" name="Column34" headerRowDxfId="1277" dataDxfId="1276"/>
    <tableColumn id="35" xr3:uid="{C8113DAC-7C21-4FA7-86BD-860EAD627FCE}" name="Column35" headerRowDxfId="1275" dataDxfId="1274"/>
    <tableColumn id="36" xr3:uid="{62C97A99-E6CB-4915-96D0-35AEF6248E77}" name="Column36" headerRowDxfId="1273" dataDxfId="1272"/>
    <tableColumn id="37" xr3:uid="{78D1D347-6565-400B-95D0-A47AE53D2489}" name="Column37" headerRowDxfId="1271" dataDxfId="1270"/>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F5A35E4-6C62-405B-AF07-28D5E6A37130}" name="Table357" displayName="Table357" ref="A11:AK16" headerRowCount="0" totalsRowShown="0" headerRowDxfId="1269" headerRowBorderDxfId="1268" tableBorderDxfId="1267" totalsRowBorderDxfId="1266">
  <tableColumns count="37">
    <tableColumn id="1" xr3:uid="{545C76A4-B178-4C11-9E23-BD57B6E6588D}" name="Column1" headerRowDxfId="1265" dataDxfId="1264"/>
    <tableColumn id="2" xr3:uid="{94F31A13-F376-429F-BCF2-1B325BFB55DD}" name="Column2" headerRowDxfId="1263" dataDxfId="1262"/>
    <tableColumn id="3" xr3:uid="{8EDAF8D7-E55E-4C0A-A414-B600509331EE}" name="Column3" headerRowDxfId="1261" dataDxfId="1260"/>
    <tableColumn id="4" xr3:uid="{CFB17801-C255-4361-9CAC-6CEF9AB5B130}" name="Column4" headerRowDxfId="1259" dataDxfId="1258"/>
    <tableColumn id="5" xr3:uid="{8A7F1275-BD31-484A-B4C3-97C52E18A926}" name="Column5" headerRowDxfId="1257" dataDxfId="1256"/>
    <tableColumn id="6" xr3:uid="{EE74879D-9DF0-4B60-A33C-6D741CDE1D99}" name="Column6" headerRowDxfId="1255" dataDxfId="1254"/>
    <tableColumn id="7" xr3:uid="{6FA00DDE-A3B7-43B2-A610-9C3DE83F40C9}" name="Column7" headerRowDxfId="1253" dataDxfId="1252"/>
    <tableColumn id="8" xr3:uid="{26C5F3AE-8E62-41D6-B2F0-64C52F0A1E3E}" name="Column8" headerRowDxfId="1251" dataDxfId="1250"/>
    <tableColumn id="9" xr3:uid="{85600DA4-1474-4DF1-86EB-E105F921BE0C}" name="Column9" headerRowDxfId="1249" dataDxfId="1248"/>
    <tableColumn id="10" xr3:uid="{576BE8DC-7EF3-4649-A82D-5964D72F83C5}" name="Column10" headerRowDxfId="1247" dataDxfId="1246"/>
    <tableColumn id="11" xr3:uid="{7D9187AA-883D-4563-8087-EC47A1A5DE5E}" name="Column11" headerRowDxfId="1245" dataDxfId="1244"/>
    <tableColumn id="12" xr3:uid="{4AC9C467-C7EB-44E4-82F8-922DE2A13A27}" name="Column12" headerRowDxfId="1243" dataDxfId="1242"/>
    <tableColumn id="13" xr3:uid="{8C5F405F-F46A-4403-BEA6-79F866B11778}" name="Column13" headerRowDxfId="1241" dataDxfId="1240"/>
    <tableColumn id="14" xr3:uid="{E3C30EDE-ED88-46C4-B077-4A102F8E0A03}" name="Column14" headerRowDxfId="1239" dataDxfId="1238"/>
    <tableColumn id="15" xr3:uid="{F0AAB820-9EC6-4443-828A-EB9D19539F95}" name="Column15" headerRowDxfId="1237" dataDxfId="1236"/>
    <tableColumn id="16" xr3:uid="{DA24A0BD-5AAC-4E7A-841C-A28C7D9F778C}" name="Column16" headerRowDxfId="1235" dataDxfId="1234"/>
    <tableColumn id="17" xr3:uid="{DA74B3C7-6FC7-4B35-99FD-CEC346CD88E9}" name="Column17" headerRowDxfId="1233" dataDxfId="1232"/>
    <tableColumn id="18" xr3:uid="{38DFD03B-4DF5-4CD3-859B-CBAABA81FD4F}" name="Column18" headerRowDxfId="1231" dataDxfId="1230"/>
    <tableColumn id="19" xr3:uid="{568BC873-9418-48A5-9914-1DBC767412D3}" name="Column19" headerRowDxfId="1229" dataDxfId="1228"/>
    <tableColumn id="20" xr3:uid="{0E7DC3A9-4939-4CE9-87E3-F9C7C5D97138}" name="Column20" headerRowDxfId="1227" dataDxfId="1226"/>
    <tableColumn id="21" xr3:uid="{D90782D4-290B-442A-B3A9-F3D1DCFF89BA}" name="Column21" headerRowDxfId="1225" dataDxfId="1224"/>
    <tableColumn id="22" xr3:uid="{DB949497-F7AE-4CA8-BA75-2D9AC29781F4}" name="Column22" headerRowDxfId="1223" dataDxfId="1222"/>
    <tableColumn id="23" xr3:uid="{8A20F5F8-08A5-40D8-BBCE-64F82D1508B3}" name="Column23" headerRowDxfId="1221" dataDxfId="1220"/>
    <tableColumn id="24" xr3:uid="{824EE044-8792-480A-BC4F-83A0CEEBE317}" name="Column24" headerRowDxfId="1219" dataDxfId="1218"/>
    <tableColumn id="25" xr3:uid="{DD7968F4-023D-461A-8154-183C826CBDAC}" name="Column25" headerRowDxfId="1217" dataDxfId="1216"/>
    <tableColumn id="26" xr3:uid="{ACCFFEB9-ACC0-4147-A8C1-8E881B39C5EC}" name="Column26" headerRowDxfId="1215" dataDxfId="1214"/>
    <tableColumn id="27" xr3:uid="{4FBF2F9F-3779-40F0-B09D-1210A911DDD2}" name="Column27" headerRowDxfId="1213" dataDxfId="1212"/>
    <tableColumn id="28" xr3:uid="{77CBED03-3E32-434A-883C-757B55C2A7DD}" name="Column28" headerRowDxfId="1211" dataDxfId="1210"/>
    <tableColumn id="29" xr3:uid="{F64C1D7B-010F-41FB-95EC-61C41E4D50EE}" name="Column29" headerRowDxfId="1209" dataDxfId="1208"/>
    <tableColumn id="30" xr3:uid="{0CB01403-AA1A-4DC3-9E62-8C84695C6385}" name="Column30" headerRowDxfId="1207" dataDxfId="1206"/>
    <tableColumn id="31" xr3:uid="{7FE16F59-996E-4C24-9F10-A7F738782DC3}" name="Column31" headerRowDxfId="1205" dataDxfId="1204"/>
    <tableColumn id="32" xr3:uid="{63CF93E3-9971-41A3-B585-13FC36E23E7A}" name="Column32" headerRowDxfId="1203" dataDxfId="1202"/>
    <tableColumn id="33" xr3:uid="{35FC50AD-7C1C-455E-8180-D200944FA1B4}" name="Column33" headerRowDxfId="1201" dataDxfId="1200"/>
    <tableColumn id="34" xr3:uid="{C7079285-E0C0-48ED-97BF-17E12FBD00FC}" name="Column34" headerRowDxfId="1199" dataDxfId="1198"/>
    <tableColumn id="35" xr3:uid="{1A7DE920-27B6-4685-8CD3-D505F6846207}" name="Column35" headerRowDxfId="1197" dataDxfId="1196"/>
    <tableColumn id="36" xr3:uid="{736FC902-22BE-423B-BEAC-1166EB3CA8C1}" name="Column36" headerRowDxfId="1195" dataDxfId="1194"/>
    <tableColumn id="37" xr3:uid="{201FA291-609F-4BF0-9F43-F2F69995F2C9}" name="Column37" headerRowDxfId="1193" dataDxfId="1192"/>
  </tableColumns>
  <tableStyleInfo name="Table Style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5F1C232-796D-4372-BA0E-218731A96E09}" name="Table2268" displayName="Table2268" ref="A7:AC9" headerRowCount="0" totalsRowShown="0" headerRowDxfId="1187" headerRowBorderDxfId="1186" tableBorderDxfId="1185" totalsRowBorderDxfId="1184">
  <tableColumns count="29">
    <tableColumn id="1" xr3:uid="{74C4CCA8-CF10-441B-885F-C7B1408FA0FF}" name="Column1" headerRowDxfId="1183" dataDxfId="21"/>
    <tableColumn id="2" xr3:uid="{23433CB8-EC10-46D2-A33B-0CBE6DEF32CA}" name="Column2" headerRowDxfId="1182" dataDxfId="20"/>
    <tableColumn id="3" xr3:uid="{5506B5C4-CA92-4D47-8C7D-A8A641955339}" name="Column3" headerRowDxfId="1181" dataDxfId="19"/>
    <tableColumn id="4" xr3:uid="{94B53C1A-B12C-49F2-B231-B25844424697}" name="Column4" headerRowDxfId="1180" dataDxfId="18"/>
    <tableColumn id="5" xr3:uid="{56D3F0F3-E4D7-473C-84E7-056FC51AC0F4}" name="Column5" headerRowDxfId="1179" dataDxfId="17"/>
    <tableColumn id="6" xr3:uid="{E5593924-63BA-42C0-B850-EE5B6E614D57}" name="Column6" headerRowDxfId="1178" dataDxfId="16"/>
    <tableColumn id="7" xr3:uid="{F48BD63C-B5FC-4597-96A3-D10CA282F3A3}" name="Column7" headerRowDxfId="1177" dataDxfId="15"/>
    <tableColumn id="8" xr3:uid="{07B64C54-B479-43E8-8516-71708D01E6B2}" name="Column8" headerRowDxfId="1176" dataDxfId="14"/>
    <tableColumn id="9" xr3:uid="{7648F258-EB0E-44BF-880B-61BA9F1A5E0D}" name="Column9" headerRowDxfId="1175" dataDxfId="13"/>
    <tableColumn id="10" xr3:uid="{ED90D66A-9E9E-40AA-AB4D-D490D079C84D}" name="Column10" headerRowDxfId="1174" dataDxfId="12"/>
    <tableColumn id="11" xr3:uid="{37EF3572-659C-4316-A3A3-11AF2AF018A3}" name="Column11" headerRowDxfId="1173" dataDxfId="11"/>
    <tableColumn id="12" xr3:uid="{38580CBA-0F11-43BA-B112-9B02FE97B400}" name="Column12" headerRowDxfId="1172" dataDxfId="1171"/>
    <tableColumn id="13" xr3:uid="{9C1128F8-EAAF-43F6-8056-A039A545605F}" name="Column13" headerRowDxfId="1170" dataDxfId="1169"/>
    <tableColumn id="14" xr3:uid="{E37BEE61-1A85-4E7C-B120-EF942F67E6D0}" name="Column14" headerRowDxfId="1168" dataDxfId="1167"/>
    <tableColumn id="15" xr3:uid="{A5FE2FD7-366C-4103-8DCC-1793B77D4DFA}" name="Column15" headerRowDxfId="1166" dataDxfId="1165"/>
    <tableColumn id="16" xr3:uid="{03B484E2-9347-480E-A29E-D0556547D161}" name="Column16" headerRowDxfId="1164" dataDxfId="1163"/>
    <tableColumn id="17" xr3:uid="{859A45A3-209E-4932-B3A8-EE9D322BCB77}" name="Column17" headerRowDxfId="1162" dataDxfId="1161"/>
    <tableColumn id="18" xr3:uid="{3BD689FA-49AD-4D48-8741-B5CD223C1C26}" name="Column18" headerRowDxfId="1160" dataDxfId="1159"/>
    <tableColumn id="19" xr3:uid="{56CB6995-9266-4E7E-8653-25DF223CEB52}" name="Column19" headerRowDxfId="1158" dataDxfId="1157"/>
    <tableColumn id="20" xr3:uid="{D857B515-FDC3-4817-B78B-780BCFDC4AC1}" name="Column20" headerRowDxfId="1156" dataDxfId="1155"/>
    <tableColumn id="21" xr3:uid="{E6EEDD34-59AA-4BE9-AF6A-A4112FB75F19}" name="Column21" headerRowDxfId="1154" dataDxfId="1153"/>
    <tableColumn id="22" xr3:uid="{BE154942-8357-4895-8BD4-F832C3823831}" name="Column22" headerRowDxfId="1152" dataDxfId="1151"/>
    <tableColumn id="23" xr3:uid="{291A09D4-D0AC-4EEE-9D45-543EAF57C0CF}" name="Column23" headerRowDxfId="1150" dataDxfId="1149"/>
    <tableColumn id="24" xr3:uid="{9B07101E-C9B1-42F1-9B39-70FBDE276C59}" name="Column24" headerRowDxfId="1148" dataDxfId="1147"/>
    <tableColumn id="25" xr3:uid="{C421F2DF-1B45-4830-AD11-6DF091C08A71}" name="Column25" headerRowDxfId="1146" dataDxfId="1145"/>
    <tableColumn id="26" xr3:uid="{41D09868-7E1F-432D-A50F-D5E3A3345475}" name="Column26" headerRowDxfId="1144" dataDxfId="1143"/>
    <tableColumn id="27" xr3:uid="{9AE9ADCE-C4C7-4D35-8D3D-3CD42A6A4B2F}" name="Column27" headerRowDxfId="1142" dataDxfId="1141"/>
    <tableColumn id="28" xr3:uid="{7F699D2F-ED74-4341-A280-0DB6EE4ABB63}" name="Column28" headerRowDxfId="1140" dataDxfId="1139"/>
    <tableColumn id="29" xr3:uid="{0583002F-99B5-4932-8B95-8276AE86BFC4}" name="Column29" headerRowDxfId="1138" dataDxfId="1137"/>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5BDDAFF4-3091-40A9-80D8-8E7372FFEA1A}" name="Table3579" displayName="Table3579" ref="A11:AM16" headerRowCount="0" totalsRowShown="0" headerRowDxfId="1136" headerRowBorderDxfId="1135" tableBorderDxfId="1134" totalsRowBorderDxfId="1133">
  <tableColumns count="39">
    <tableColumn id="1" xr3:uid="{E7717C50-707B-4480-96EA-E260930FFD44}" name="Column1" headerRowDxfId="1132" dataDxfId="10"/>
    <tableColumn id="2" xr3:uid="{5AE3C6C5-9614-45FA-8F37-1D79C7550F40}" name="Column2" headerRowDxfId="1131" dataDxfId="9"/>
    <tableColumn id="3" xr3:uid="{54D7EBD4-FACB-4358-B660-30C3BC6F529A}" name="Column3" headerRowDxfId="1130" dataDxfId="8"/>
    <tableColumn id="4" xr3:uid="{F1D9BBF4-BBA1-4FF2-80BD-E041929DA56C}" name="Column4" headerRowDxfId="1129" dataDxfId="7"/>
    <tableColumn id="5" xr3:uid="{16546CF1-3876-4FE2-AAD9-5C606054CB66}" name="Column5" headerRowDxfId="1128" dataDxfId="6"/>
    <tableColumn id="6" xr3:uid="{EC7C4E6F-0EA5-48ED-8071-AF546AAD7FE0}" name="Column6" headerRowDxfId="1127" dataDxfId="5"/>
    <tableColumn id="7" xr3:uid="{B1C0DA51-0DD1-4669-A08F-7A297947D056}" name="Column7" headerRowDxfId="1126" dataDxfId="4"/>
    <tableColumn id="8" xr3:uid="{55560FA6-CA56-42F5-B308-6033D9679FB7}" name="Column8" headerRowDxfId="1125" dataDxfId="3"/>
    <tableColumn id="9" xr3:uid="{13B0D99A-3E02-4E2D-8491-293DCCA1E34E}" name="Column9" headerRowDxfId="1124" dataDxfId="2"/>
    <tableColumn id="10" xr3:uid="{0AB54EBA-1647-4B6E-8231-26BAA6E100E5}" name="Column10" headerRowDxfId="1123" dataDxfId="1"/>
    <tableColumn id="11" xr3:uid="{9C1C8DB9-6E33-4988-A3A6-EE5AE36E7B8E}" name="Column11" headerRowDxfId="1122" dataDxfId="0"/>
    <tableColumn id="12" xr3:uid="{F00D4FEB-C50E-43AB-8E11-B15D16FC5EDB}" name="Column12" headerRowDxfId="1121" dataDxfId="1120"/>
    <tableColumn id="13" xr3:uid="{3CF0ACBD-76DD-418C-82E9-0BCC987A35DC}" name="Column13" headerRowDxfId="1119" dataDxfId="1118"/>
    <tableColumn id="14" xr3:uid="{998D0FE4-39AA-4351-81FE-F7565580128F}" name="Column14" headerRowDxfId="1117" dataDxfId="1116"/>
    <tableColumn id="15" xr3:uid="{2DA52503-1E41-43D0-A320-D978ABEFB469}" name="Column15" headerRowDxfId="1115" dataDxfId="1114"/>
    <tableColumn id="16" xr3:uid="{F485EE07-A200-46B8-929A-484D7F9352C0}" name="Column16" headerRowDxfId="1113" dataDxfId="1112"/>
    <tableColumn id="17" xr3:uid="{5669AD1A-D1C1-49A3-840A-CE6D908A9D68}" name="Column17" headerRowDxfId="1111" dataDxfId="1110"/>
    <tableColumn id="18" xr3:uid="{9D1239D9-8C6B-4DF1-A537-583B316BE31A}" name="Column18" headerRowDxfId="1109" dataDxfId="1108"/>
    <tableColumn id="19" xr3:uid="{DC155187-6941-4078-8360-E036CA3D573B}" name="Column19" headerRowDxfId="1107" dataDxfId="1106"/>
    <tableColumn id="20" xr3:uid="{FA93DF28-17C9-46AD-9ADB-45DA08003213}" name="Column20" headerRowDxfId="1105" dataDxfId="1104"/>
    <tableColumn id="21" xr3:uid="{574177D4-2B9D-4D7D-89AC-4ECAEAC79AF4}" name="Column21" headerRowDxfId="1103" dataDxfId="1102"/>
    <tableColumn id="22" xr3:uid="{0A78C7D0-7A3E-4774-BFB1-981D3DE7D1EA}" name="Column22" headerRowDxfId="1101" dataDxfId="1100"/>
    <tableColumn id="23" xr3:uid="{82CBB322-632E-43A3-8531-A82263205300}" name="Column23" headerRowDxfId="1099" dataDxfId="1098"/>
    <tableColumn id="24" xr3:uid="{9208C9DE-665B-4293-9173-0A166A12D9D9}" name="Column24" headerRowDxfId="1097" dataDxfId="1096"/>
    <tableColumn id="25" xr3:uid="{DDE8F2E3-4A2B-43FA-BC80-27C4DD9A3B52}" name="Column25" headerRowDxfId="1095" dataDxfId="1094"/>
    <tableColumn id="26" xr3:uid="{4699E0D2-96E8-49B7-8E25-206CBCDA8968}" name="Column26" headerRowDxfId="1093" dataDxfId="1092"/>
    <tableColumn id="27" xr3:uid="{60B389B3-3268-4616-935C-95BE53A98022}" name="Column27" headerRowDxfId="1091" dataDxfId="1090"/>
    <tableColumn id="28" xr3:uid="{21A1C3DC-B1F3-4830-91CE-02950B53584D}" name="Column28" headerRowDxfId="1089" dataDxfId="1088"/>
    <tableColumn id="29" xr3:uid="{F0AC69E6-0731-4772-83AA-D867E7DFD0DB}" name="Column29" headerRowDxfId="1087" dataDxfId="1086"/>
    <tableColumn id="30" xr3:uid="{32E2B186-3F35-4B5D-9ACA-43D960D42CB9}" name="Column30" headerRowDxfId="1085" dataDxfId="1084"/>
    <tableColumn id="31" xr3:uid="{60B86665-2A12-4599-82EB-91676004506E}" name="Column31" headerRowDxfId="1083" dataDxfId="1082"/>
    <tableColumn id="32" xr3:uid="{27FB443C-29BD-4FEE-A7A8-E24CFD0A1F38}" name="Column32" headerRowDxfId="1081" dataDxfId="1080"/>
    <tableColumn id="33" xr3:uid="{32C378E0-5FA5-4EB3-AFA5-E56D015416EE}" name="Column33" headerRowDxfId="1079" dataDxfId="1078"/>
    <tableColumn id="34" xr3:uid="{9EB0CE53-C216-4097-B131-68787128ECB6}" name="Column34" headerRowDxfId="1077" dataDxfId="1076"/>
    <tableColumn id="35" xr3:uid="{01BE2BC5-0D56-4EE0-A4BE-B60019E6E0A8}" name="Column35" headerRowDxfId="1075" dataDxfId="1074"/>
    <tableColumn id="36" xr3:uid="{66CE616A-F350-412C-B6EF-C88EE107D0A7}" name="Column36" headerRowDxfId="1073" dataDxfId="1072"/>
    <tableColumn id="37" xr3:uid="{9A4379C1-04E4-450B-A835-57AC969FB1E8}" name="Column37" headerRowDxfId="1071" dataDxfId="1070"/>
    <tableColumn id="38" xr3:uid="{51C1D568-6D88-49B5-BCB1-AB4E7BE6DAA2}" name="Column38" headerRowDxfId="1069" dataDxfId="1068"/>
    <tableColumn id="39" xr3:uid="{A3447EFB-AFCD-4B05-B9CA-9C65C82040DA}" name="Column39" headerRowDxfId="1067" dataDxfId="1066"/>
  </tableColumns>
  <tableStyleInfo name="Table Style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45BDA7E-64AB-46B9-89DC-A267CFFAA7A4}" name="Table226810" displayName="Table226810" ref="A7:AC9" headerRowCount="0" totalsRowShown="0" headerRowDxfId="1062" headerRowBorderDxfId="1061" tableBorderDxfId="1060" totalsRowBorderDxfId="1059">
  <tableColumns count="29">
    <tableColumn id="1" xr3:uid="{BF6900CD-75DF-49ED-A675-8A5E7E76F729}" name="Column1" headerRowDxfId="1058" dataDxfId="1057"/>
    <tableColumn id="2" xr3:uid="{8BA0370A-1F8C-40F6-AB99-E403EC878A73}" name="Column2" headerRowDxfId="1056" dataDxfId="1055"/>
    <tableColumn id="3" xr3:uid="{C391A018-D1FF-42A1-B2F9-FE1D3A5E6DC4}" name="Column3" headerRowDxfId="1054" dataDxfId="1053"/>
    <tableColumn id="4" xr3:uid="{9077B266-B5BB-45AE-AFF4-DC00C9E61EEA}" name="Column4" headerRowDxfId="1052" dataDxfId="1051"/>
    <tableColumn id="5" xr3:uid="{7B554D55-588E-4E01-93E2-2A4E89E3DDF9}" name="Column5" headerRowDxfId="1050" dataDxfId="1049"/>
    <tableColumn id="6" xr3:uid="{670F3D84-3FFD-4806-A32C-C38F9779440C}" name="Column6" headerRowDxfId="1048" dataDxfId="1047"/>
    <tableColumn id="7" xr3:uid="{0E0A0071-BA79-4C22-9FA2-9496FA1713D9}" name="Column7" headerRowDxfId="1046" dataDxfId="1045"/>
    <tableColumn id="8" xr3:uid="{CEFB14EB-263E-46F2-A5CB-A6A807AF7E14}" name="Column8" headerRowDxfId="1044" dataDxfId="1043"/>
    <tableColumn id="9" xr3:uid="{384062E7-0E2C-4738-9ABB-9BF1007B932B}" name="Column9" headerRowDxfId="1042" dataDxfId="1041"/>
    <tableColumn id="10" xr3:uid="{996E5C82-471A-4421-ABD0-D22E4CD3B852}" name="Column10" headerRowDxfId="1040" dataDxfId="1039"/>
    <tableColumn id="11" xr3:uid="{F0A4828B-593A-4CB2-BD37-C2481434C23B}" name="Column11" headerRowDxfId="1038" dataDxfId="1037"/>
    <tableColumn id="12" xr3:uid="{9A805BB0-4CC4-416C-B89D-1821E82CF635}" name="Column12" headerRowDxfId="1036" dataDxfId="1035"/>
    <tableColumn id="13" xr3:uid="{51D91840-D9D2-485D-B090-8C1CC8F47E67}" name="Column13" headerRowDxfId="1034" dataDxfId="1033"/>
    <tableColumn id="14" xr3:uid="{FEA047FA-80A0-4730-8EB9-ED28187ADE65}" name="Column14" headerRowDxfId="1032" dataDxfId="1031"/>
    <tableColumn id="15" xr3:uid="{E93C222B-18EB-41F6-8F2C-E43565D64D5A}" name="Column15" headerRowDxfId="1030" dataDxfId="1029"/>
    <tableColumn id="16" xr3:uid="{B36F0B42-F2B9-4C50-B941-090CC67E3021}" name="Column16" headerRowDxfId="1028" dataDxfId="1027"/>
    <tableColumn id="17" xr3:uid="{EF2E840C-084B-40CE-9FAA-6460438E01C4}" name="Column17" headerRowDxfId="1026" dataDxfId="1025"/>
    <tableColumn id="18" xr3:uid="{9D32D825-07BB-443B-8A31-5E69E726B153}" name="Column18" headerRowDxfId="1024" dataDxfId="1023"/>
    <tableColumn id="19" xr3:uid="{A995258F-5742-4E9D-8A52-E39902DC4FE2}" name="Column19" headerRowDxfId="1022" dataDxfId="1021"/>
    <tableColumn id="20" xr3:uid="{48AC415B-BD10-4E32-BD0D-FE0B345E31EB}" name="Column20" headerRowDxfId="1020" dataDxfId="1019"/>
    <tableColumn id="21" xr3:uid="{1DFA0D3A-6A5B-4491-9543-B6558AC67387}" name="Column21" headerRowDxfId="1018" dataDxfId="1017"/>
    <tableColumn id="22" xr3:uid="{D3EF222A-08B3-4613-9AE7-D4A40591CDAE}" name="Column22" headerRowDxfId="1016" dataDxfId="1015"/>
    <tableColumn id="23" xr3:uid="{08368568-3658-48AC-A53C-F9D51C956ABD}" name="Column23" headerRowDxfId="1014" dataDxfId="1013"/>
    <tableColumn id="24" xr3:uid="{F3B9F2FE-0607-4134-9946-EA9870BA9BF6}" name="Column24" headerRowDxfId="1012" dataDxfId="1011"/>
    <tableColumn id="25" xr3:uid="{9ED89264-E315-4B5B-BEC3-C3AD2FF24ED5}" name="Column25" headerRowDxfId="1010" dataDxfId="1009"/>
    <tableColumn id="26" xr3:uid="{DFE0A2B7-5A45-431C-BE0C-F9FB301FEA3B}" name="Column26" headerRowDxfId="1008" dataDxfId="1007"/>
    <tableColumn id="27" xr3:uid="{4ED181E5-791E-45EA-908B-66C224C0B1E7}" name="Column27" headerRowDxfId="1006" dataDxfId="1005"/>
    <tableColumn id="28" xr3:uid="{F16B0D13-DD6C-4A1D-89D3-A74E4BC2B226}" name="Column28" headerRowDxfId="1004" dataDxfId="1003"/>
    <tableColumn id="29" xr3:uid="{A8CD5E5C-1978-427B-9AC2-4D1F571241F0}" name="Column29" headerRowDxfId="1002" dataDxfId="1001"/>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table" Target="../tables/table1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table" Target="../tables/table1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table" Target="../tables/table21.xml"/></Relationships>
</file>

<file path=xl/worksheets/_rels/sheet13.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topLeftCell="A49" zoomScale="90" zoomScaleNormal="90" workbookViewId="0">
      <selection activeCell="Z50" sqref="Z50"/>
    </sheetView>
  </sheetViews>
  <sheetFormatPr defaultRowHeight="14.5" x14ac:dyDescent="0.35"/>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25212-F352-4189-A0E8-C5210FBDD3E5}">
  <dimension ref="A1:AN26"/>
  <sheetViews>
    <sheetView zoomScale="85" zoomScaleNormal="85" workbookViewId="0">
      <selection activeCell="E5" sqref="E5:K5"/>
    </sheetView>
  </sheetViews>
  <sheetFormatPr defaultColWidth="12.1796875" defaultRowHeight="14.5" x14ac:dyDescent="0.35"/>
  <cols>
    <col min="1" max="1" width="28.453125" style="2" bestFit="1" customWidth="1"/>
    <col min="12" max="40" width="12.1796875" hidden="1" customWidth="1"/>
  </cols>
  <sheetData>
    <row r="1" spans="1:40" ht="23.25" customHeight="1" thickBot="1" x14ac:dyDescent="0.5">
      <c r="A1" s="93" t="s">
        <v>0</v>
      </c>
      <c r="B1" s="94"/>
      <c r="C1" s="94"/>
      <c r="D1" s="94"/>
      <c r="E1" s="94"/>
      <c r="F1" s="94"/>
      <c r="G1" s="94"/>
      <c r="H1" s="94"/>
      <c r="I1" s="94"/>
      <c r="J1" s="94"/>
      <c r="K1" s="95"/>
    </row>
    <row r="2" spans="1:40" ht="16" customHeight="1" thickBot="1" x14ac:dyDescent="0.4">
      <c r="A2" s="100" t="s">
        <v>1</v>
      </c>
      <c r="B2" s="100"/>
      <c r="C2" s="100"/>
      <c r="D2" s="100"/>
      <c r="E2" s="96" t="s">
        <v>44</v>
      </c>
      <c r="F2" s="96"/>
      <c r="G2" s="96"/>
      <c r="H2" s="96"/>
      <c r="I2" s="96"/>
      <c r="J2" s="96"/>
      <c r="K2" s="96"/>
    </row>
    <row r="3" spans="1:40" ht="16" customHeight="1" thickBot="1" x14ac:dyDescent="0.4">
      <c r="A3" s="100" t="s">
        <v>3</v>
      </c>
      <c r="B3" s="100"/>
      <c r="C3" s="100"/>
      <c r="D3" s="100"/>
      <c r="E3" s="96" t="s">
        <v>45</v>
      </c>
      <c r="F3" s="96"/>
      <c r="G3" s="96"/>
      <c r="H3" s="96"/>
      <c r="I3" s="96"/>
      <c r="J3" s="96"/>
      <c r="K3" s="96"/>
    </row>
    <row r="4" spans="1:40" ht="16" customHeight="1" thickBot="1" x14ac:dyDescent="0.4">
      <c r="A4" s="100" t="s">
        <v>5</v>
      </c>
      <c r="B4" s="100"/>
      <c r="C4" s="100"/>
      <c r="D4" s="100"/>
      <c r="E4" s="97">
        <v>31.1</v>
      </c>
      <c r="F4" s="97"/>
      <c r="G4" s="97"/>
      <c r="H4" s="97"/>
      <c r="I4" s="97"/>
      <c r="J4" s="97"/>
      <c r="K4" s="97"/>
    </row>
    <row r="5" spans="1:40" ht="32.15" customHeight="1" thickBot="1" x14ac:dyDescent="0.4">
      <c r="A5" s="99" t="s">
        <v>37</v>
      </c>
      <c r="B5" s="99"/>
      <c r="C5" s="99"/>
      <c r="D5" s="99"/>
      <c r="E5" s="98">
        <v>55154</v>
      </c>
      <c r="F5" s="96"/>
      <c r="G5" s="96"/>
      <c r="H5" s="96"/>
      <c r="I5" s="96"/>
      <c r="J5" s="96"/>
      <c r="K5" s="96"/>
    </row>
    <row r="6" spans="1:40" ht="16" customHeight="1" thickBot="1" x14ac:dyDescent="0.4">
      <c r="A6" s="100" t="s">
        <v>7</v>
      </c>
      <c r="B6" s="100"/>
      <c r="C6" s="100"/>
      <c r="D6" s="100"/>
      <c r="E6" s="96" t="s">
        <v>8</v>
      </c>
      <c r="F6" s="96"/>
      <c r="G6" s="96"/>
      <c r="H6" s="96"/>
      <c r="I6" s="96"/>
      <c r="J6" s="96"/>
      <c r="K6" s="96"/>
    </row>
    <row r="7" spans="1:40" ht="31" customHeight="1" thickBot="1" x14ac:dyDescent="0.4">
      <c r="A7" s="3" t="s">
        <v>9</v>
      </c>
      <c r="B7" s="11">
        <v>54767</v>
      </c>
      <c r="C7" s="11"/>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row>
    <row r="8" spans="1:40" ht="31" customHeight="1" thickBot="1" x14ac:dyDescent="0.4">
      <c r="A8" s="74" t="s">
        <v>10</v>
      </c>
      <c r="B8" s="75">
        <v>31.1</v>
      </c>
      <c r="C8" s="75"/>
      <c r="D8" s="75"/>
      <c r="E8" s="75"/>
      <c r="F8" s="75"/>
      <c r="G8" s="75"/>
      <c r="H8" s="75"/>
      <c r="I8" s="75"/>
      <c r="J8" s="75"/>
      <c r="K8" s="75"/>
      <c r="L8" s="18"/>
      <c r="M8" s="19"/>
      <c r="N8" s="19"/>
      <c r="O8" s="19"/>
      <c r="P8" s="18"/>
      <c r="Q8" s="19"/>
      <c r="R8" s="19"/>
      <c r="S8" s="19"/>
      <c r="T8" s="19"/>
      <c r="U8" s="19"/>
      <c r="V8" s="19"/>
      <c r="W8" s="19"/>
      <c r="X8" s="19"/>
      <c r="Y8" s="19"/>
      <c r="Z8" s="19"/>
      <c r="AA8" s="19"/>
      <c r="AB8" s="19"/>
      <c r="AC8" s="19"/>
      <c r="AD8" s="19"/>
      <c r="AE8" s="19"/>
      <c r="AF8" s="19"/>
      <c r="AG8" s="19"/>
      <c r="AH8" s="19"/>
      <c r="AI8" s="19"/>
      <c r="AJ8" s="19"/>
      <c r="AK8" s="19"/>
      <c r="AL8" s="19"/>
      <c r="AM8" s="19"/>
      <c r="AN8" s="19"/>
    </row>
    <row r="9" spans="1:40" ht="31" customHeight="1" thickBot="1" x14ac:dyDescent="0.4">
      <c r="A9" s="51" t="s">
        <v>11</v>
      </c>
      <c r="B9" s="52">
        <v>56228</v>
      </c>
      <c r="C9" s="52">
        <v>57324</v>
      </c>
      <c r="D9" s="52">
        <v>64629</v>
      </c>
      <c r="E9" s="52"/>
      <c r="F9" s="52"/>
      <c r="G9" s="52"/>
      <c r="H9" s="52"/>
      <c r="I9" s="52"/>
      <c r="J9" s="52"/>
      <c r="K9" s="5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row>
    <row r="10" spans="1:40" ht="15" thickBot="1" x14ac:dyDescent="0.4">
      <c r="A10" s="1" t="s">
        <v>12</v>
      </c>
      <c r="B10" s="81" t="s">
        <v>13</v>
      </c>
      <c r="C10" s="82"/>
      <c r="D10" s="82"/>
      <c r="E10" s="82"/>
      <c r="F10" s="82"/>
      <c r="G10" s="82"/>
      <c r="H10" s="82"/>
      <c r="I10" s="82"/>
      <c r="J10" s="82"/>
      <c r="K10" s="83"/>
    </row>
    <row r="11" spans="1:40" ht="15" thickBot="1" x14ac:dyDescent="0.4">
      <c r="A11" s="23" t="s">
        <v>31</v>
      </c>
      <c r="B11" s="39">
        <v>31.1</v>
      </c>
      <c r="C11" s="68">
        <f>Table35791117192123[[#This Row],[Column2]]</f>
        <v>31.1</v>
      </c>
      <c r="D11" s="68">
        <f>Table35791117192123[[#This Row],[Column3]]</f>
        <v>31.1</v>
      </c>
      <c r="E11" s="39"/>
      <c r="F11" s="39"/>
      <c r="G11" s="39"/>
      <c r="H11" s="39"/>
      <c r="I11" s="13"/>
      <c r="J11" s="13"/>
      <c r="K11" s="14"/>
      <c r="L11" s="17"/>
      <c r="M11" s="17"/>
      <c r="N11" s="17"/>
      <c r="O11" s="17"/>
      <c r="P11" s="17"/>
      <c r="Q11" s="17"/>
      <c r="R11" s="17"/>
      <c r="S11" s="17"/>
      <c r="T11" s="17"/>
      <c r="U11" s="17"/>
      <c r="V11" s="39"/>
      <c r="W11" s="39"/>
      <c r="X11" s="39"/>
      <c r="Y11" s="39"/>
      <c r="Z11" s="39"/>
      <c r="AA11" s="39"/>
      <c r="AB11" s="39"/>
      <c r="AC11" s="39"/>
      <c r="AD11" s="39"/>
      <c r="AE11" s="39"/>
      <c r="AF11" s="39"/>
      <c r="AG11" s="39"/>
      <c r="AH11" s="39"/>
      <c r="AI11" s="39"/>
      <c r="AJ11" s="39"/>
      <c r="AK11" s="39"/>
      <c r="AL11" s="39"/>
      <c r="AM11" s="39"/>
      <c r="AN11" s="39"/>
    </row>
    <row r="12" spans="1:40" ht="15" thickBot="1" x14ac:dyDescent="0.4">
      <c r="A12" s="23" t="s">
        <v>14</v>
      </c>
      <c r="B12" s="30"/>
      <c r="C12" s="30">
        <v>31.1</v>
      </c>
      <c r="D12" s="66">
        <f>Table35791117192123[[#This Row],[Column3]]</f>
        <v>31.1</v>
      </c>
      <c r="E12" s="30"/>
      <c r="F12" s="30"/>
      <c r="G12" s="30"/>
      <c r="H12" s="30"/>
      <c r="I12" s="13"/>
      <c r="J12" s="13"/>
      <c r="K12" s="14"/>
      <c r="L12" s="13"/>
      <c r="M12" s="13"/>
      <c r="N12" s="13"/>
      <c r="O12" s="13"/>
      <c r="P12" s="13"/>
      <c r="Q12" s="13"/>
      <c r="R12" s="13"/>
      <c r="S12" s="13"/>
      <c r="T12" s="13"/>
      <c r="U12" s="13"/>
      <c r="V12" s="30"/>
      <c r="W12" s="30"/>
      <c r="X12" s="30"/>
      <c r="Y12" s="30"/>
      <c r="Z12" s="30"/>
      <c r="AA12" s="30"/>
      <c r="AB12" s="30"/>
      <c r="AC12" s="30"/>
      <c r="AD12" s="30"/>
      <c r="AE12" s="30"/>
      <c r="AF12" s="30"/>
      <c r="AG12" s="30"/>
      <c r="AH12" s="30"/>
      <c r="AI12" s="36"/>
      <c r="AJ12" s="36"/>
      <c r="AK12" s="36"/>
      <c r="AL12" s="36"/>
      <c r="AM12" s="36"/>
      <c r="AN12" s="36"/>
    </row>
    <row r="13" spans="1:40" ht="15" thickBot="1" x14ac:dyDescent="0.4">
      <c r="A13" s="23" t="s">
        <v>46</v>
      </c>
      <c r="B13" s="30"/>
      <c r="C13" s="30">
        <v>31.1</v>
      </c>
      <c r="D13" s="66">
        <f>Table35791117192123[[#This Row],[Column3]]</f>
        <v>31.1</v>
      </c>
      <c r="E13" s="30"/>
      <c r="F13" s="30"/>
      <c r="G13" s="30"/>
      <c r="H13" s="30"/>
      <c r="I13" s="13"/>
      <c r="J13" s="13"/>
      <c r="K13" s="14"/>
      <c r="L13" s="13"/>
      <c r="M13" s="13"/>
      <c r="N13" s="13"/>
      <c r="O13" s="13"/>
      <c r="P13" s="13"/>
      <c r="Q13" s="13"/>
      <c r="R13" s="13"/>
      <c r="S13" s="13"/>
      <c r="T13" s="13"/>
      <c r="U13" s="13"/>
      <c r="V13" s="30"/>
      <c r="W13" s="30"/>
      <c r="X13" s="30"/>
      <c r="Y13" s="30"/>
      <c r="Z13" s="30"/>
      <c r="AA13" s="30"/>
      <c r="AB13" s="30"/>
      <c r="AC13" s="30"/>
      <c r="AD13" s="30"/>
      <c r="AE13" s="30"/>
      <c r="AF13" s="30"/>
      <c r="AG13" s="30"/>
      <c r="AH13" s="30"/>
      <c r="AI13" s="36"/>
      <c r="AJ13" s="36"/>
      <c r="AK13" s="36"/>
      <c r="AL13" s="36"/>
      <c r="AM13" s="36"/>
      <c r="AN13" s="36"/>
    </row>
    <row r="14" spans="1:40" ht="15" thickBot="1" x14ac:dyDescent="0.4">
      <c r="A14" s="23" t="s">
        <v>15</v>
      </c>
      <c r="B14" s="30"/>
      <c r="C14" s="30">
        <v>31.1</v>
      </c>
      <c r="D14" s="66">
        <f>Table35791117192123[[#This Row],[Column3]]</f>
        <v>31.1</v>
      </c>
      <c r="E14" s="30"/>
      <c r="F14" s="30"/>
      <c r="G14" s="30"/>
      <c r="H14" s="30"/>
      <c r="I14" s="13"/>
      <c r="J14" s="13"/>
      <c r="K14" s="14"/>
      <c r="L14" s="13"/>
      <c r="M14" s="13"/>
      <c r="N14" s="13"/>
      <c r="O14" s="13"/>
      <c r="P14" s="13"/>
      <c r="Q14" s="13"/>
      <c r="R14" s="13"/>
      <c r="S14" s="13"/>
      <c r="T14" s="13"/>
      <c r="U14" s="13"/>
      <c r="V14" s="30"/>
      <c r="W14" s="30"/>
      <c r="X14" s="30"/>
      <c r="Y14" s="30"/>
      <c r="Z14" s="30"/>
      <c r="AA14" s="30"/>
      <c r="AB14" s="30"/>
      <c r="AC14" s="30"/>
      <c r="AD14" s="30"/>
      <c r="AE14" s="30"/>
      <c r="AF14" s="30"/>
      <c r="AG14" s="30"/>
      <c r="AH14" s="30"/>
      <c r="AI14" s="36"/>
      <c r="AJ14" s="36"/>
      <c r="AK14" s="36"/>
      <c r="AL14" s="36"/>
      <c r="AM14" s="36"/>
      <c r="AN14" s="36"/>
    </row>
    <row r="15" spans="1:40" ht="15" thickBot="1" x14ac:dyDescent="0.4">
      <c r="A15" s="23" t="s">
        <v>16</v>
      </c>
      <c r="B15" s="30"/>
      <c r="C15" s="30">
        <v>31.1</v>
      </c>
      <c r="D15" s="66">
        <f>Table35791117192123[[#This Row],[Column3]]</f>
        <v>31.1</v>
      </c>
      <c r="E15" s="30"/>
      <c r="F15" s="30"/>
      <c r="G15" s="30"/>
      <c r="H15" s="30"/>
      <c r="I15" s="13"/>
      <c r="J15" s="13"/>
      <c r="K15" s="14"/>
      <c r="L15" s="13"/>
      <c r="M15" s="13"/>
      <c r="N15" s="13"/>
      <c r="O15" s="13"/>
      <c r="P15" s="13"/>
      <c r="Q15" s="13"/>
      <c r="R15" s="13"/>
      <c r="S15" s="13"/>
      <c r="T15" s="13"/>
      <c r="U15" s="13"/>
      <c r="V15" s="30"/>
      <c r="W15" s="30"/>
      <c r="X15" s="30"/>
      <c r="Y15" s="30"/>
      <c r="Z15" s="30"/>
      <c r="AA15" s="30"/>
      <c r="AB15" s="30"/>
      <c r="AC15" s="30"/>
      <c r="AD15" s="30"/>
      <c r="AE15" s="30"/>
      <c r="AF15" s="30"/>
      <c r="AG15" s="30"/>
      <c r="AH15" s="30"/>
      <c r="AI15" s="36"/>
      <c r="AJ15" s="36"/>
      <c r="AK15" s="36"/>
      <c r="AL15" s="36"/>
      <c r="AM15" s="36"/>
      <c r="AN15" s="36"/>
    </row>
    <row r="16" spans="1:40" ht="15" thickBot="1" x14ac:dyDescent="0.4">
      <c r="A16" s="23" t="s">
        <v>17</v>
      </c>
      <c r="B16" s="13"/>
      <c r="C16" s="13"/>
      <c r="D16" s="30">
        <v>31.1</v>
      </c>
      <c r="E16" s="13"/>
      <c r="F16" s="30"/>
      <c r="G16" s="30"/>
      <c r="H16" s="30"/>
      <c r="I16" s="13"/>
      <c r="J16" s="13"/>
      <c r="K16" s="14"/>
      <c r="L16" s="13"/>
      <c r="M16" s="13"/>
      <c r="N16" s="13"/>
      <c r="O16" s="13"/>
      <c r="P16" s="13"/>
      <c r="Q16" s="13"/>
      <c r="R16" s="13"/>
      <c r="S16" s="13"/>
      <c r="T16" s="13"/>
      <c r="U16" s="13"/>
      <c r="V16" s="30"/>
      <c r="W16" s="30"/>
      <c r="X16" s="30"/>
      <c r="Y16" s="30"/>
      <c r="Z16" s="30"/>
      <c r="AA16" s="30"/>
      <c r="AB16" s="30"/>
      <c r="AC16" s="30"/>
      <c r="AD16" s="30"/>
      <c r="AE16" s="30"/>
      <c r="AF16" s="30"/>
      <c r="AG16" s="30"/>
      <c r="AH16" s="30"/>
      <c r="AI16" s="36"/>
      <c r="AJ16" s="36"/>
      <c r="AK16" s="36"/>
      <c r="AL16" s="36"/>
      <c r="AM16" s="36"/>
      <c r="AN16" s="36"/>
    </row>
    <row r="17" spans="1:40" ht="15" thickBot="1" x14ac:dyDescent="0.4">
      <c r="A17" s="23" t="s">
        <v>18</v>
      </c>
      <c r="B17" s="13"/>
      <c r="C17" s="13"/>
      <c r="D17" s="30">
        <v>31.1</v>
      </c>
      <c r="E17" s="13"/>
      <c r="F17" s="30"/>
      <c r="G17" s="30"/>
      <c r="H17" s="30"/>
      <c r="I17" s="13"/>
      <c r="J17" s="13"/>
      <c r="K17" s="14"/>
      <c r="L17" s="13"/>
      <c r="M17" s="13"/>
      <c r="N17" s="13"/>
      <c r="O17" s="13"/>
      <c r="P17" s="13"/>
      <c r="Q17" s="13"/>
      <c r="R17" s="13"/>
      <c r="S17" s="13"/>
      <c r="T17" s="13"/>
      <c r="U17" s="13"/>
      <c r="V17" s="30"/>
      <c r="W17" s="30"/>
      <c r="X17" s="30"/>
      <c r="Y17" s="30"/>
      <c r="Z17" s="30"/>
      <c r="AA17" s="30"/>
      <c r="AB17" s="30"/>
      <c r="AC17" s="30"/>
      <c r="AD17" s="30"/>
      <c r="AE17" s="30"/>
      <c r="AF17" s="30"/>
      <c r="AG17" s="30"/>
      <c r="AH17" s="30"/>
      <c r="AI17" s="36"/>
      <c r="AJ17" s="36"/>
      <c r="AK17" s="36"/>
      <c r="AL17" s="36"/>
      <c r="AM17" s="36"/>
      <c r="AN17" s="36"/>
    </row>
    <row r="18" spans="1:40" ht="15" thickBot="1" x14ac:dyDescent="0.4">
      <c r="A18" s="23" t="s">
        <v>19</v>
      </c>
      <c r="B18" s="15"/>
      <c r="C18" s="15">
        <v>31</v>
      </c>
      <c r="D18" s="72">
        <f>Table35791117192123[[#This Row],[Column3]]</f>
        <v>31</v>
      </c>
      <c r="E18" s="15"/>
      <c r="F18" s="32"/>
      <c r="G18" s="32"/>
      <c r="H18" s="32"/>
      <c r="I18" s="15"/>
      <c r="J18" s="15"/>
      <c r="K18" s="16"/>
      <c r="L18" s="15"/>
      <c r="M18" s="15"/>
      <c r="N18" s="15"/>
      <c r="O18" s="15"/>
      <c r="P18" s="15"/>
      <c r="Q18" s="15"/>
      <c r="R18" s="15"/>
      <c r="S18" s="15"/>
      <c r="T18" s="15"/>
      <c r="U18" s="15"/>
      <c r="V18" s="32"/>
      <c r="W18" s="32"/>
      <c r="X18" s="32"/>
      <c r="Y18" s="32"/>
      <c r="Z18" s="32"/>
      <c r="AA18" s="32"/>
      <c r="AB18" s="32"/>
      <c r="AC18" s="32"/>
      <c r="AD18" s="32"/>
      <c r="AE18" s="32"/>
      <c r="AF18" s="32"/>
      <c r="AG18" s="32"/>
      <c r="AH18" s="32"/>
      <c r="AI18" s="38"/>
      <c r="AJ18" s="38"/>
      <c r="AK18" s="38"/>
      <c r="AL18" s="38"/>
      <c r="AM18" s="38"/>
      <c r="AN18" s="38"/>
    </row>
    <row r="19" spans="1:40" x14ac:dyDescent="0.35">
      <c r="A19"/>
    </row>
    <row r="20" spans="1:40" ht="15" thickBot="1" x14ac:dyDescent="0.4"/>
    <row r="21" spans="1:40" x14ac:dyDescent="0.35">
      <c r="A21" s="87" t="s">
        <v>20</v>
      </c>
      <c r="B21" s="88"/>
      <c r="C21" s="88"/>
      <c r="D21" s="88"/>
      <c r="E21" s="88"/>
      <c r="F21" s="88"/>
      <c r="G21" s="88"/>
      <c r="H21" s="88"/>
      <c r="I21" s="88"/>
      <c r="J21" s="88"/>
      <c r="K21" s="89"/>
    </row>
    <row r="22" spans="1:40" x14ac:dyDescent="0.35">
      <c r="A22" s="90" t="s">
        <v>21</v>
      </c>
      <c r="B22" s="91"/>
      <c r="C22" s="91"/>
      <c r="D22" s="91"/>
      <c r="E22" s="91"/>
      <c r="F22" s="91"/>
      <c r="G22" s="91"/>
      <c r="H22" s="91"/>
      <c r="I22" s="91"/>
      <c r="J22" s="91"/>
      <c r="K22" s="92"/>
    </row>
    <row r="23" spans="1:40" x14ac:dyDescent="0.35">
      <c r="A23" s="90" t="s">
        <v>22</v>
      </c>
      <c r="B23" s="91"/>
      <c r="C23" s="91"/>
      <c r="D23" s="91"/>
      <c r="E23" s="91"/>
      <c r="F23" s="91"/>
      <c r="G23" s="91"/>
      <c r="H23" s="91"/>
      <c r="I23" s="91"/>
      <c r="J23" s="91"/>
      <c r="K23" s="92"/>
    </row>
    <row r="24" spans="1:40" ht="15" thickBot="1" x14ac:dyDescent="0.4">
      <c r="A24" s="84" t="s">
        <v>23</v>
      </c>
      <c r="B24" s="85"/>
      <c r="C24" s="85"/>
      <c r="D24" s="85"/>
      <c r="E24" s="85"/>
      <c r="F24" s="85"/>
      <c r="G24" s="85"/>
      <c r="H24" s="85"/>
      <c r="I24" s="85"/>
      <c r="J24" s="85"/>
      <c r="K24" s="86"/>
    </row>
    <row r="26" spans="1:40" hidden="1" x14ac:dyDescent="0.35">
      <c r="B26">
        <f>IF(SUM(B8,B11:B18)=SUM(A8,A11:A18),0,1)</f>
        <v>1</v>
      </c>
      <c r="C26">
        <f t="shared" ref="C26:K26" si="0">IF(SUM(C8,C11:C18)=SUM(B8,B11:B18),0,1)</f>
        <v>1</v>
      </c>
      <c r="D26">
        <f t="shared" si="0"/>
        <v>1</v>
      </c>
      <c r="E26">
        <f t="shared" si="0"/>
        <v>1</v>
      </c>
      <c r="F26">
        <f t="shared" si="0"/>
        <v>0</v>
      </c>
      <c r="G26">
        <f t="shared" si="0"/>
        <v>0</v>
      </c>
      <c r="H26">
        <f t="shared" si="0"/>
        <v>0</v>
      </c>
      <c r="I26">
        <f t="shared" si="0"/>
        <v>0</v>
      </c>
      <c r="J26">
        <f t="shared" si="0"/>
        <v>0</v>
      </c>
      <c r="K26">
        <f t="shared" si="0"/>
        <v>0</v>
      </c>
    </row>
  </sheetData>
  <mergeCells count="16">
    <mergeCell ref="A4:D4"/>
    <mergeCell ref="E4:K4"/>
    <mergeCell ref="A1:K1"/>
    <mergeCell ref="A2:D2"/>
    <mergeCell ref="E2:K2"/>
    <mergeCell ref="A3:D3"/>
    <mergeCell ref="E3:K3"/>
    <mergeCell ref="A22:K22"/>
    <mergeCell ref="A23:K23"/>
    <mergeCell ref="A24:K24"/>
    <mergeCell ref="A5:D5"/>
    <mergeCell ref="E5:K5"/>
    <mergeCell ref="A6:D6"/>
    <mergeCell ref="E6:K6"/>
    <mergeCell ref="B10:K10"/>
    <mergeCell ref="A21:K21"/>
  </mergeCells>
  <conditionalFormatting sqref="D7:AN7">
    <cfRule type="containsText" dxfId="502" priority="4" operator="containsText" text="10/12/xxxx">
      <formula>NOT(ISERROR(SEARCH("10/12/xxxx",D7)))</formula>
    </cfRule>
  </conditionalFormatting>
  <conditionalFormatting sqref="B9:AN9">
    <cfRule type="containsText" dxfId="501" priority="3" operator="containsText" text="xx/xx/xxxx">
      <formula>NOT(ISERROR(SEARCH("xx/xx/xxxx",B9)))</formula>
    </cfRule>
  </conditionalFormatting>
  <conditionalFormatting sqref="B7">
    <cfRule type="containsText" dxfId="500" priority="2" operator="containsText" text="10/12/xxxx">
      <formula>NOT(ISERROR(SEARCH("10/12/xxxx",B7)))</formula>
    </cfRule>
  </conditionalFormatting>
  <conditionalFormatting sqref="C7">
    <cfRule type="containsText" dxfId="499" priority="1" operator="containsText" text="10/12/xxxx">
      <formula>NOT(ISERROR(SEARCH("10/12/xxxx",C7)))</formula>
    </cfRule>
  </conditionalFormatting>
  <dataValidations count="5">
    <dataValidation allowBlank="1" showInputMessage="1" showErrorMessage="1" promptTitle="Insert Date" prompt="Please insert the date the area is available for rehabilitation" sqref="B7:AN7" xr:uid="{F7AEDC41-545F-4278-844D-C5A39E5561E7}"/>
    <dataValidation allowBlank="1" showInputMessage="1" showErrorMessage="1" promptTitle="Insert Date" prompt="Please insert the data the milestone is to be completed by" sqref="B9:AN9" xr:uid="{79DEAECB-5B1B-48B9-A900-A042DA750E6F}"/>
    <dataValidation allowBlank="1" showInputMessage="1" showErrorMessage="1" promptTitle="Insert Area (ha)" prompt="Please insert the cumulative area available in hectares (ha)" sqref="D8:K8" xr:uid="{73E830E4-2DBA-4D68-8DF7-F6560DFEC12D}"/>
    <dataValidation allowBlank="1" showInputMessage="1" showErrorMessage="1" promptTitle="Insert Area (ha)" prompt="Please insert the cumulative area achieved in hectares (ha) as required" sqref="I11:K18 B16:C18 E16:E18 D18" xr:uid="{2C243762-7C5F-45B3-A079-F21E3DC23D67}"/>
    <dataValidation allowBlank="1" showInputMessage="1" showErrorMessage="1" prompt="Please input the correct Rehabilitation Area number (RA#)" sqref="E2:K2" xr:uid="{E5E1ED17-EBC3-47E7-A793-B6E834CEC745}"/>
  </dataValidations>
  <pageMargins left="0.7" right="0.7" top="0.75" bottom="0.75" header="0.3" footer="0.3"/>
  <pageSetup paperSize="9" orientation="portrait"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66747-986A-4793-8BC8-80A477A490A9}">
  <dimension ref="A1:AN26"/>
  <sheetViews>
    <sheetView zoomScale="85" zoomScaleNormal="85" workbookViewId="0">
      <pane xSplit="11" topLeftCell="AC1" activePane="topRight" state="frozen"/>
      <selection pane="topRight" activeCell="F32" sqref="F32"/>
    </sheetView>
  </sheetViews>
  <sheetFormatPr defaultColWidth="12.1796875" defaultRowHeight="14.5" x14ac:dyDescent="0.35"/>
  <cols>
    <col min="1" max="1" width="28.453125" style="2" bestFit="1" customWidth="1"/>
    <col min="12" max="40" width="12.1796875" hidden="1" customWidth="1"/>
  </cols>
  <sheetData>
    <row r="1" spans="1:40" ht="23.25" customHeight="1" thickBot="1" x14ac:dyDescent="0.5">
      <c r="A1" s="93" t="s">
        <v>0</v>
      </c>
      <c r="B1" s="94"/>
      <c r="C1" s="94"/>
      <c r="D1" s="94"/>
      <c r="E1" s="94"/>
      <c r="F1" s="94"/>
      <c r="G1" s="94"/>
      <c r="H1" s="94"/>
      <c r="I1" s="94"/>
      <c r="J1" s="94"/>
      <c r="K1" s="95"/>
    </row>
    <row r="2" spans="1:40" ht="16" customHeight="1" thickBot="1" x14ac:dyDescent="0.4">
      <c r="A2" s="100" t="s">
        <v>1</v>
      </c>
      <c r="B2" s="100"/>
      <c r="C2" s="100"/>
      <c r="D2" s="100"/>
      <c r="E2" s="96" t="s">
        <v>47</v>
      </c>
      <c r="F2" s="96"/>
      <c r="G2" s="96"/>
      <c r="H2" s="96"/>
      <c r="I2" s="96"/>
      <c r="J2" s="96"/>
      <c r="K2" s="96"/>
    </row>
    <row r="3" spans="1:40" ht="16" customHeight="1" thickBot="1" x14ac:dyDescent="0.4">
      <c r="A3" s="100" t="s">
        <v>3</v>
      </c>
      <c r="B3" s="100"/>
      <c r="C3" s="100"/>
      <c r="D3" s="100"/>
      <c r="E3" s="96" t="s">
        <v>45</v>
      </c>
      <c r="F3" s="96"/>
      <c r="G3" s="96"/>
      <c r="H3" s="96"/>
      <c r="I3" s="96"/>
      <c r="J3" s="96"/>
      <c r="K3" s="96"/>
    </row>
    <row r="4" spans="1:40" ht="16" customHeight="1" thickBot="1" x14ac:dyDescent="0.4">
      <c r="A4" s="100" t="s">
        <v>5</v>
      </c>
      <c r="B4" s="100"/>
      <c r="C4" s="100"/>
      <c r="D4" s="100"/>
      <c r="E4" s="97">
        <v>34.200000000000003</v>
      </c>
      <c r="F4" s="97"/>
      <c r="G4" s="97"/>
      <c r="H4" s="97"/>
      <c r="I4" s="97"/>
      <c r="J4" s="97"/>
      <c r="K4" s="97"/>
    </row>
    <row r="5" spans="1:40" ht="32.15" customHeight="1" thickBot="1" x14ac:dyDescent="0.4">
      <c r="A5" s="99" t="s">
        <v>37</v>
      </c>
      <c r="B5" s="99"/>
      <c r="C5" s="99"/>
      <c r="D5" s="99"/>
      <c r="E5" s="98">
        <v>55154</v>
      </c>
      <c r="F5" s="96"/>
      <c r="G5" s="96"/>
      <c r="H5" s="96"/>
      <c r="I5" s="96"/>
      <c r="J5" s="96"/>
      <c r="K5" s="96"/>
    </row>
    <row r="6" spans="1:40" ht="16" customHeight="1" thickBot="1" x14ac:dyDescent="0.4">
      <c r="A6" s="100" t="s">
        <v>7</v>
      </c>
      <c r="B6" s="100"/>
      <c r="C6" s="100"/>
      <c r="D6" s="100"/>
      <c r="E6" s="96" t="s">
        <v>8</v>
      </c>
      <c r="F6" s="96"/>
      <c r="G6" s="96"/>
      <c r="H6" s="96"/>
      <c r="I6" s="96"/>
      <c r="J6" s="96"/>
      <c r="K6" s="96"/>
    </row>
    <row r="7" spans="1:40" ht="31" customHeight="1" thickBot="1" x14ac:dyDescent="0.4">
      <c r="A7" s="3" t="s">
        <v>9</v>
      </c>
      <c r="B7" s="11">
        <v>54767</v>
      </c>
      <c r="C7" s="11"/>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row>
    <row r="8" spans="1:40" ht="31" customHeight="1" thickBot="1" x14ac:dyDescent="0.4">
      <c r="A8" s="74" t="s">
        <v>10</v>
      </c>
      <c r="B8" s="75">
        <v>34.200000000000003</v>
      </c>
      <c r="C8" s="76"/>
      <c r="D8" s="76"/>
      <c r="E8" s="76"/>
      <c r="F8" s="76"/>
      <c r="G8" s="76"/>
      <c r="H8" s="76"/>
      <c r="I8" s="76"/>
      <c r="J8" s="76"/>
      <c r="K8" s="76"/>
      <c r="L8" s="34"/>
      <c r="M8" s="35"/>
      <c r="N8" s="35"/>
      <c r="O8" s="35"/>
      <c r="P8" s="34"/>
      <c r="Q8" s="35"/>
      <c r="R8" s="35"/>
      <c r="S8" s="35"/>
      <c r="T8" s="35"/>
      <c r="U8" s="35"/>
      <c r="V8" s="35"/>
      <c r="W8" s="35"/>
      <c r="X8" s="35"/>
      <c r="Y8" s="35"/>
      <c r="Z8" s="35"/>
      <c r="AA8" s="35"/>
      <c r="AB8" s="35"/>
      <c r="AC8" s="35"/>
      <c r="AD8" s="35"/>
      <c r="AE8" s="35"/>
      <c r="AF8" s="35"/>
      <c r="AG8" s="35"/>
      <c r="AH8" s="35"/>
      <c r="AI8" s="35"/>
      <c r="AJ8" s="35"/>
      <c r="AK8" s="35"/>
      <c r="AL8" s="35"/>
      <c r="AM8" s="35"/>
      <c r="AN8" s="35"/>
    </row>
    <row r="9" spans="1:40" ht="31" customHeight="1" thickBot="1" x14ac:dyDescent="0.4">
      <c r="A9" s="51" t="s">
        <v>11</v>
      </c>
      <c r="B9" s="52">
        <v>56228</v>
      </c>
      <c r="C9" s="52">
        <v>57324</v>
      </c>
      <c r="D9" s="52">
        <v>64629</v>
      </c>
      <c r="E9" s="52"/>
      <c r="F9" s="52"/>
      <c r="G9" s="52"/>
      <c r="H9" s="52"/>
      <c r="I9" s="52"/>
      <c r="J9" s="52"/>
      <c r="K9" s="5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row>
    <row r="10" spans="1:40" ht="15" thickBot="1" x14ac:dyDescent="0.4">
      <c r="A10" s="1" t="s">
        <v>12</v>
      </c>
      <c r="B10" s="81" t="s">
        <v>13</v>
      </c>
      <c r="C10" s="82"/>
      <c r="D10" s="82"/>
      <c r="E10" s="82"/>
      <c r="F10" s="82"/>
      <c r="G10" s="82"/>
      <c r="H10" s="82"/>
      <c r="I10" s="82"/>
      <c r="J10" s="82"/>
      <c r="K10" s="83"/>
    </row>
    <row r="11" spans="1:40" ht="15" thickBot="1" x14ac:dyDescent="0.4">
      <c r="A11" s="23" t="s">
        <v>31</v>
      </c>
      <c r="B11" s="39">
        <v>34.200000000000003</v>
      </c>
      <c r="C11" s="68">
        <f>Table3579111719212325[[#This Row],[Column2]]</f>
        <v>34.200000000000003</v>
      </c>
      <c r="D11" s="68">
        <f>Table3579111719212325[[#This Row],[Column3]]</f>
        <v>34.200000000000003</v>
      </c>
      <c r="E11" s="39"/>
      <c r="F11" s="39"/>
      <c r="G11" s="13"/>
      <c r="H11" s="13"/>
      <c r="I11" s="13"/>
      <c r="J11" s="13"/>
      <c r="K11" s="14"/>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row>
    <row r="12" spans="1:40" ht="15" thickBot="1" x14ac:dyDescent="0.4">
      <c r="A12" s="23" t="s">
        <v>14</v>
      </c>
      <c r="B12" s="30"/>
      <c r="C12" s="30">
        <v>34.200000000000003</v>
      </c>
      <c r="D12" s="68">
        <f>Table3579111719212325[[#This Row],[Column3]]</f>
        <v>34.200000000000003</v>
      </c>
      <c r="E12" s="39"/>
      <c r="F12" s="39"/>
      <c r="G12" s="13"/>
      <c r="H12" s="13"/>
      <c r="I12" s="13"/>
      <c r="J12" s="13"/>
      <c r="K12" s="14"/>
      <c r="L12" s="13"/>
      <c r="M12" s="13"/>
      <c r="N12" s="13"/>
      <c r="O12" s="13"/>
      <c r="P12" s="13"/>
      <c r="Q12" s="13"/>
      <c r="R12" s="13"/>
      <c r="S12" s="13"/>
      <c r="T12" s="13"/>
      <c r="U12" s="13"/>
      <c r="V12" s="36"/>
      <c r="W12" s="36"/>
      <c r="X12" s="36"/>
      <c r="Y12" s="37"/>
      <c r="Z12" s="37"/>
      <c r="AA12" s="37"/>
      <c r="AB12" s="37"/>
      <c r="AC12" s="37"/>
      <c r="AD12" s="37"/>
      <c r="AE12" s="37"/>
      <c r="AF12" s="37"/>
      <c r="AG12" s="37"/>
      <c r="AH12" s="37"/>
      <c r="AI12" s="37"/>
      <c r="AJ12" s="37"/>
      <c r="AK12" s="37"/>
      <c r="AL12" s="37"/>
      <c r="AM12" s="37"/>
      <c r="AN12" s="37"/>
    </row>
    <row r="13" spans="1:40" ht="15" thickBot="1" x14ac:dyDescent="0.4">
      <c r="A13" s="23" t="s">
        <v>46</v>
      </c>
      <c r="B13" s="30"/>
      <c r="C13" s="30">
        <v>34.200000000000003</v>
      </c>
      <c r="D13" s="68">
        <f>Table3579111719212325[[#This Row],[Column3]]</f>
        <v>34.200000000000003</v>
      </c>
      <c r="E13" s="30"/>
      <c r="F13" s="30"/>
      <c r="G13" s="13"/>
      <c r="H13" s="13"/>
      <c r="I13" s="13"/>
      <c r="J13" s="13"/>
      <c r="K13" s="14"/>
      <c r="L13" s="13"/>
      <c r="M13" s="13"/>
      <c r="N13" s="13"/>
      <c r="O13" s="13"/>
      <c r="P13" s="13"/>
      <c r="Q13" s="13"/>
      <c r="R13" s="13"/>
      <c r="S13" s="13"/>
      <c r="T13" s="13"/>
      <c r="U13" s="13"/>
      <c r="V13" s="13"/>
      <c r="W13" s="13"/>
      <c r="X13" s="36"/>
      <c r="Y13" s="36"/>
      <c r="Z13" s="36"/>
      <c r="AA13" s="36"/>
      <c r="AB13" s="36"/>
      <c r="AC13" s="36"/>
      <c r="AD13" s="36"/>
      <c r="AE13" s="36"/>
      <c r="AF13" s="36"/>
      <c r="AG13" s="36"/>
      <c r="AH13" s="36"/>
      <c r="AI13" s="36"/>
      <c r="AJ13" s="36"/>
      <c r="AK13" s="36"/>
      <c r="AL13" s="36"/>
      <c r="AM13" s="36"/>
      <c r="AN13" s="36"/>
    </row>
    <row r="14" spans="1:40" ht="15" thickBot="1" x14ac:dyDescent="0.4">
      <c r="A14" s="23" t="s">
        <v>15</v>
      </c>
      <c r="B14" s="30"/>
      <c r="C14" s="30">
        <v>34.200000000000003</v>
      </c>
      <c r="D14" s="68">
        <f>Table3579111719212325[[#This Row],[Column3]]</f>
        <v>34.200000000000003</v>
      </c>
      <c r="E14" s="30"/>
      <c r="F14" s="30"/>
      <c r="G14" s="13"/>
      <c r="H14" s="13"/>
      <c r="I14" s="13"/>
      <c r="J14" s="13"/>
      <c r="K14" s="14"/>
      <c r="L14" s="13"/>
      <c r="M14" s="13"/>
      <c r="N14" s="13"/>
      <c r="O14" s="13"/>
      <c r="P14" s="13"/>
      <c r="Q14" s="13"/>
      <c r="R14" s="13"/>
      <c r="S14" s="13"/>
      <c r="T14" s="13"/>
      <c r="U14" s="13"/>
      <c r="V14" s="13"/>
      <c r="W14" s="13"/>
      <c r="X14" s="13"/>
      <c r="Y14" s="36"/>
      <c r="Z14" s="36"/>
      <c r="AA14" s="36"/>
      <c r="AB14" s="36"/>
      <c r="AC14" s="36"/>
      <c r="AD14" s="36"/>
      <c r="AE14" s="36"/>
      <c r="AF14" s="36"/>
      <c r="AG14" s="36"/>
      <c r="AH14" s="36"/>
      <c r="AI14" s="36"/>
      <c r="AJ14" s="36"/>
      <c r="AK14" s="36"/>
      <c r="AL14" s="36"/>
      <c r="AM14" s="36"/>
      <c r="AN14" s="36"/>
    </row>
    <row r="15" spans="1:40" ht="15" thickBot="1" x14ac:dyDescent="0.4">
      <c r="A15" s="23" t="s">
        <v>16</v>
      </c>
      <c r="B15" s="30"/>
      <c r="C15" s="30">
        <v>34.200000000000003</v>
      </c>
      <c r="D15" s="68">
        <f>Table3579111719212325[[#This Row],[Column3]]</f>
        <v>34.200000000000003</v>
      </c>
      <c r="E15" s="30"/>
      <c r="F15" s="30"/>
      <c r="G15" s="13"/>
      <c r="H15" s="13"/>
      <c r="I15" s="13"/>
      <c r="J15" s="13"/>
      <c r="K15" s="14"/>
      <c r="L15" s="13"/>
      <c r="M15" s="13"/>
      <c r="N15" s="13"/>
      <c r="O15" s="13"/>
      <c r="P15" s="13"/>
      <c r="Q15" s="13"/>
      <c r="R15" s="13"/>
      <c r="S15" s="13"/>
      <c r="T15" s="13"/>
      <c r="U15" s="13"/>
      <c r="V15" s="13"/>
      <c r="W15" s="13"/>
      <c r="X15" s="13"/>
      <c r="Y15" s="36"/>
      <c r="Z15" s="36"/>
      <c r="AA15" s="36"/>
      <c r="AB15" s="36"/>
      <c r="AC15" s="36"/>
      <c r="AD15" s="36"/>
      <c r="AE15" s="36"/>
      <c r="AF15" s="36"/>
      <c r="AG15" s="36"/>
      <c r="AH15" s="36"/>
      <c r="AI15" s="36"/>
      <c r="AJ15" s="36"/>
      <c r="AK15" s="36"/>
      <c r="AL15" s="36"/>
      <c r="AM15" s="36"/>
      <c r="AN15" s="36"/>
    </row>
    <row r="16" spans="1:40" ht="15" thickBot="1" x14ac:dyDescent="0.4">
      <c r="A16" s="23" t="s">
        <v>17</v>
      </c>
      <c r="B16" s="30"/>
      <c r="C16" s="30"/>
      <c r="D16" s="30">
        <v>34.200000000000003</v>
      </c>
      <c r="E16" s="30"/>
      <c r="F16" s="30"/>
      <c r="G16" s="13"/>
      <c r="H16" s="13"/>
      <c r="I16" s="13"/>
      <c r="J16" s="13"/>
      <c r="K16" s="14"/>
      <c r="L16" s="13"/>
      <c r="M16" s="13"/>
      <c r="N16" s="13"/>
      <c r="O16" s="13"/>
      <c r="P16" s="13"/>
      <c r="Q16" s="13"/>
      <c r="R16" s="13"/>
      <c r="S16" s="13"/>
      <c r="T16" s="13"/>
      <c r="U16" s="13"/>
      <c r="V16" s="13"/>
      <c r="W16" s="13"/>
      <c r="X16" s="13"/>
      <c r="Y16" s="13"/>
      <c r="Z16" s="13"/>
      <c r="AA16" s="13"/>
      <c r="AB16" s="13"/>
      <c r="AC16" s="36"/>
      <c r="AD16" s="36"/>
      <c r="AE16" s="36"/>
      <c r="AF16" s="36"/>
      <c r="AG16" s="36"/>
      <c r="AH16" s="36"/>
      <c r="AI16" s="36"/>
      <c r="AJ16" s="36"/>
      <c r="AK16" s="36"/>
      <c r="AL16" s="36"/>
      <c r="AM16" s="36"/>
      <c r="AN16" s="36"/>
    </row>
    <row r="17" spans="1:40" ht="15" thickBot="1" x14ac:dyDescent="0.4">
      <c r="A17" s="23" t="s">
        <v>18</v>
      </c>
      <c r="B17" s="30"/>
      <c r="C17" s="30"/>
      <c r="D17" s="30">
        <v>34.200000000000003</v>
      </c>
      <c r="E17" s="30"/>
      <c r="F17" s="30"/>
      <c r="G17" s="13"/>
      <c r="H17" s="13"/>
      <c r="I17" s="13"/>
      <c r="J17" s="13"/>
      <c r="K17" s="14"/>
      <c r="L17" s="13"/>
      <c r="M17" s="13"/>
      <c r="N17" s="13"/>
      <c r="O17" s="13"/>
      <c r="P17" s="13"/>
      <c r="Q17" s="13"/>
      <c r="R17" s="13"/>
      <c r="S17" s="13"/>
      <c r="T17" s="13"/>
      <c r="U17" s="13"/>
      <c r="V17" s="13"/>
      <c r="W17" s="13"/>
      <c r="X17" s="13"/>
      <c r="Y17" s="13"/>
      <c r="Z17" s="13"/>
      <c r="AA17" s="13"/>
      <c r="AB17" s="13"/>
      <c r="AC17" s="13"/>
      <c r="AD17" s="13"/>
      <c r="AE17" s="13"/>
      <c r="AF17" s="13"/>
      <c r="AG17" s="13"/>
      <c r="AH17" s="36"/>
      <c r="AI17" s="36"/>
      <c r="AJ17" s="36"/>
      <c r="AK17" s="36"/>
      <c r="AL17" s="36"/>
      <c r="AM17" s="36"/>
      <c r="AN17" s="36"/>
    </row>
    <row r="18" spans="1:40" ht="15" thickBot="1" x14ac:dyDescent="0.4">
      <c r="A18" s="23" t="s">
        <v>19</v>
      </c>
      <c r="B18" s="32"/>
      <c r="C18" s="32">
        <v>34.200000000000003</v>
      </c>
      <c r="D18" s="73">
        <f>Table3579111719212325[[#This Row],[Column3]]</f>
        <v>34.200000000000003</v>
      </c>
      <c r="E18" s="32"/>
      <c r="F18" s="32"/>
      <c r="G18" s="15"/>
      <c r="H18" s="15"/>
      <c r="I18" s="15"/>
      <c r="J18" s="15"/>
      <c r="K18" s="16"/>
      <c r="L18" s="15"/>
      <c r="M18" s="15"/>
      <c r="N18" s="15"/>
      <c r="O18" s="15"/>
      <c r="P18" s="15"/>
      <c r="Q18" s="15"/>
      <c r="R18" s="15"/>
      <c r="S18" s="15"/>
      <c r="T18" s="15"/>
      <c r="U18" s="15"/>
      <c r="V18" s="15"/>
      <c r="W18" s="15"/>
      <c r="X18" s="15"/>
      <c r="Y18" s="15"/>
      <c r="Z18" s="38"/>
      <c r="AA18" s="38"/>
      <c r="AB18" s="38"/>
      <c r="AC18" s="38"/>
      <c r="AD18" s="38"/>
      <c r="AE18" s="38"/>
      <c r="AF18" s="38"/>
      <c r="AG18" s="38"/>
      <c r="AH18" s="38"/>
      <c r="AI18" s="38"/>
      <c r="AJ18" s="38"/>
      <c r="AK18" s="38"/>
      <c r="AL18" s="38"/>
      <c r="AM18" s="38"/>
      <c r="AN18" s="38"/>
    </row>
    <row r="19" spans="1:40" x14ac:dyDescent="0.35">
      <c r="A19"/>
    </row>
    <row r="21" spans="1:40" x14ac:dyDescent="0.35">
      <c r="A21" s="87" t="s">
        <v>20</v>
      </c>
      <c r="B21" s="88"/>
      <c r="C21" s="88"/>
      <c r="D21" s="88"/>
      <c r="E21" s="88"/>
      <c r="F21" s="88"/>
      <c r="G21" s="88"/>
      <c r="H21" s="88"/>
      <c r="I21" s="88"/>
      <c r="J21" s="88"/>
      <c r="K21" s="89"/>
    </row>
    <row r="22" spans="1:40" x14ac:dyDescent="0.35">
      <c r="A22" s="90" t="s">
        <v>21</v>
      </c>
      <c r="B22" s="91"/>
      <c r="C22" s="91"/>
      <c r="D22" s="91"/>
      <c r="E22" s="91"/>
      <c r="F22" s="91"/>
      <c r="G22" s="91"/>
      <c r="H22" s="91"/>
      <c r="I22" s="91"/>
      <c r="J22" s="91"/>
      <c r="K22" s="92"/>
    </row>
    <row r="23" spans="1:40" x14ac:dyDescent="0.35">
      <c r="A23" s="90" t="s">
        <v>22</v>
      </c>
      <c r="B23" s="91"/>
      <c r="C23" s="91"/>
      <c r="D23" s="91"/>
      <c r="E23" s="91"/>
      <c r="F23" s="91"/>
      <c r="G23" s="91"/>
      <c r="H23" s="91"/>
      <c r="I23" s="91"/>
      <c r="J23" s="91"/>
      <c r="K23" s="92"/>
    </row>
    <row r="24" spans="1:40" ht="15" thickBot="1" x14ac:dyDescent="0.4">
      <c r="A24" s="84" t="s">
        <v>23</v>
      </c>
      <c r="B24" s="85"/>
      <c r="C24" s="85"/>
      <c r="D24" s="85"/>
      <c r="E24" s="85"/>
      <c r="F24" s="85"/>
      <c r="G24" s="85"/>
      <c r="H24" s="85"/>
      <c r="I24" s="85"/>
      <c r="J24" s="85"/>
      <c r="K24" s="86"/>
    </row>
    <row r="26" spans="1:40" hidden="1" x14ac:dyDescent="0.35">
      <c r="B26">
        <f>IF(SUM(B8,B11:B18)=SUM(A8,A11:A18),0,1)</f>
        <v>1</v>
      </c>
      <c r="C26">
        <f t="shared" ref="C26:AN26" si="0">IF(SUM(C8,C11:C18)=SUM(B8,B11:B18),0,1)</f>
        <v>1</v>
      </c>
      <c r="D26">
        <f t="shared" si="0"/>
        <v>1</v>
      </c>
      <c r="E26">
        <f t="shared" si="0"/>
        <v>1</v>
      </c>
      <c r="F26">
        <f t="shared" si="0"/>
        <v>0</v>
      </c>
      <c r="G26">
        <f t="shared" si="0"/>
        <v>0</v>
      </c>
      <c r="H26">
        <f t="shared" si="0"/>
        <v>0</v>
      </c>
      <c r="I26">
        <f t="shared" si="0"/>
        <v>0</v>
      </c>
      <c r="J26">
        <f t="shared" si="0"/>
        <v>0</v>
      </c>
      <c r="K26">
        <f t="shared" si="0"/>
        <v>0</v>
      </c>
      <c r="L26">
        <f t="shared" si="0"/>
        <v>0</v>
      </c>
      <c r="M26">
        <f t="shared" si="0"/>
        <v>0</v>
      </c>
      <c r="N26">
        <f t="shared" si="0"/>
        <v>0</v>
      </c>
      <c r="O26">
        <f t="shared" si="0"/>
        <v>0</v>
      </c>
      <c r="P26">
        <f t="shared" si="0"/>
        <v>0</v>
      </c>
      <c r="Q26">
        <f t="shared" si="0"/>
        <v>0</v>
      </c>
      <c r="R26">
        <f t="shared" si="0"/>
        <v>0</v>
      </c>
      <c r="S26">
        <f t="shared" si="0"/>
        <v>0</v>
      </c>
      <c r="T26">
        <f t="shared" si="0"/>
        <v>0</v>
      </c>
      <c r="U26">
        <f t="shared" si="0"/>
        <v>0</v>
      </c>
      <c r="V26">
        <f t="shared" si="0"/>
        <v>0</v>
      </c>
      <c r="W26">
        <f t="shared" si="0"/>
        <v>0</v>
      </c>
      <c r="X26">
        <f t="shared" si="0"/>
        <v>0</v>
      </c>
      <c r="Y26">
        <f t="shared" si="0"/>
        <v>0</v>
      </c>
      <c r="Z26">
        <f t="shared" si="0"/>
        <v>0</v>
      </c>
      <c r="AA26">
        <f t="shared" si="0"/>
        <v>0</v>
      </c>
      <c r="AB26">
        <f t="shared" si="0"/>
        <v>0</v>
      </c>
      <c r="AC26">
        <f t="shared" si="0"/>
        <v>0</v>
      </c>
      <c r="AD26">
        <f t="shared" si="0"/>
        <v>0</v>
      </c>
      <c r="AE26">
        <f t="shared" si="0"/>
        <v>0</v>
      </c>
      <c r="AF26">
        <f t="shared" si="0"/>
        <v>0</v>
      </c>
      <c r="AG26">
        <f t="shared" si="0"/>
        <v>0</v>
      </c>
      <c r="AH26">
        <f t="shared" si="0"/>
        <v>0</v>
      </c>
      <c r="AI26">
        <f t="shared" si="0"/>
        <v>0</v>
      </c>
      <c r="AJ26">
        <f t="shared" si="0"/>
        <v>0</v>
      </c>
      <c r="AK26">
        <f t="shared" si="0"/>
        <v>0</v>
      </c>
      <c r="AL26">
        <f t="shared" si="0"/>
        <v>0</v>
      </c>
      <c r="AM26">
        <f t="shared" si="0"/>
        <v>0</v>
      </c>
      <c r="AN26">
        <f t="shared" si="0"/>
        <v>0</v>
      </c>
    </row>
  </sheetData>
  <mergeCells count="16">
    <mergeCell ref="A4:D4"/>
    <mergeCell ref="E4:K4"/>
    <mergeCell ref="A1:K1"/>
    <mergeCell ref="A2:D2"/>
    <mergeCell ref="E2:K2"/>
    <mergeCell ref="A3:D3"/>
    <mergeCell ref="E3:K3"/>
    <mergeCell ref="A22:K22"/>
    <mergeCell ref="A23:K23"/>
    <mergeCell ref="A24:K24"/>
    <mergeCell ref="A5:D5"/>
    <mergeCell ref="E5:K5"/>
    <mergeCell ref="A6:D6"/>
    <mergeCell ref="E6:K6"/>
    <mergeCell ref="B10:K10"/>
    <mergeCell ref="A21:K21"/>
  </mergeCells>
  <conditionalFormatting sqref="D7:AN7">
    <cfRule type="containsText" dxfId="330" priority="4" operator="containsText" text="10/12/xxxx">
      <formula>NOT(ISERROR(SEARCH("10/12/xxxx",D7)))</formula>
    </cfRule>
  </conditionalFormatting>
  <conditionalFormatting sqref="B9:AN9">
    <cfRule type="containsText" dxfId="329" priority="3" operator="containsText" text="xx/xx/xxxx">
      <formula>NOT(ISERROR(SEARCH("xx/xx/xxxx",B9)))</formula>
    </cfRule>
  </conditionalFormatting>
  <conditionalFormatting sqref="B7">
    <cfRule type="containsText" dxfId="328" priority="2" operator="containsText" text="10/12/xxxx">
      <formula>NOT(ISERROR(SEARCH("10/12/xxxx",B7)))</formula>
    </cfRule>
  </conditionalFormatting>
  <conditionalFormatting sqref="C7">
    <cfRule type="containsText" dxfId="327" priority="1" operator="containsText" text="10/12/xxxx">
      <formula>NOT(ISERROR(SEARCH("10/12/xxxx",C7)))</formula>
    </cfRule>
  </conditionalFormatting>
  <dataValidations count="5">
    <dataValidation allowBlank="1" showInputMessage="1" showErrorMessage="1" prompt="Please input the correct Rehabilitation Area number (RA#)" sqref="E2:K2" xr:uid="{2C4BC15A-92AF-4B65-903B-20F5B4A6CA28}"/>
    <dataValidation allowBlank="1" showInputMessage="1" showErrorMessage="1" promptTitle="Insert Area (ha)" prompt="Please insert the cumulative area achieved in hectares (ha) as required" sqref="B13:B18 G11:K18" xr:uid="{2C7200B0-3149-43C2-B7DD-7756D564D9E2}"/>
    <dataValidation allowBlank="1" showInputMessage="1" showErrorMessage="1" promptTitle="Insert Area (ha)" prompt="Please insert the cumulative area available in hectares (ha)" sqref="D8:K8" xr:uid="{0151D147-435B-43A2-8D75-EE75D7E4D38E}"/>
    <dataValidation allowBlank="1" showInputMessage="1" showErrorMessage="1" promptTitle="Insert Date" prompt="Please insert the data the milestone is to be completed by" sqref="B9:AN9" xr:uid="{554B4D7C-B9E3-4F46-83CC-31D59566FF8F}"/>
    <dataValidation allowBlank="1" showInputMessage="1" showErrorMessage="1" promptTitle="Insert Date" prompt="Please insert the date the area is available for rehabilitation" sqref="B7:AN7" xr:uid="{FA1C0715-6021-4E18-94A4-B0295922CA48}"/>
  </dataValidations>
  <pageMargins left="0.7" right="0.7" top="0.75" bottom="0.75" header="0.3" footer="0.3"/>
  <pageSetup paperSize="9" orientation="portrait" r:id="rId1"/>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dimension ref="A1:AC27"/>
  <sheetViews>
    <sheetView zoomScale="70" zoomScaleNormal="70" workbookViewId="0">
      <pane xSplit="11" topLeftCell="L1" activePane="topRight" state="frozen"/>
      <selection pane="topRight" activeCell="C33" sqref="C33"/>
    </sheetView>
  </sheetViews>
  <sheetFormatPr defaultColWidth="12.1796875" defaultRowHeight="14.5" x14ac:dyDescent="0.35"/>
  <cols>
    <col min="1" max="1" width="36.81640625" style="2" bestFit="1" customWidth="1"/>
    <col min="12" max="21" width="12.1796875" hidden="1" customWidth="1"/>
    <col min="22" max="25" width="0" hidden="1" customWidth="1"/>
    <col min="26" max="29" width="12.1796875" hidden="1" customWidth="1"/>
  </cols>
  <sheetData>
    <row r="1" spans="1:29" ht="23.25" customHeight="1" thickBot="1" x14ac:dyDescent="0.5">
      <c r="A1" s="93" t="s">
        <v>48</v>
      </c>
      <c r="B1" s="94"/>
      <c r="C1" s="94"/>
      <c r="D1" s="94"/>
      <c r="E1" s="94"/>
      <c r="F1" s="94"/>
      <c r="G1" s="94"/>
      <c r="H1" s="94"/>
      <c r="I1" s="94"/>
      <c r="J1" s="94"/>
      <c r="K1" s="95"/>
    </row>
    <row r="2" spans="1:29" ht="16" customHeight="1" thickBot="1" x14ac:dyDescent="0.4">
      <c r="A2" s="100" t="s">
        <v>49</v>
      </c>
      <c r="B2" s="100"/>
      <c r="C2" s="100"/>
      <c r="D2" s="100"/>
      <c r="E2" s="96" t="s">
        <v>50</v>
      </c>
      <c r="F2" s="96"/>
      <c r="G2" s="96"/>
      <c r="H2" s="96"/>
      <c r="I2" s="96"/>
      <c r="J2" s="96"/>
      <c r="K2" s="96"/>
    </row>
    <row r="3" spans="1:29" ht="16" customHeight="1" thickBot="1" x14ac:dyDescent="0.4">
      <c r="A3" s="100" t="s">
        <v>3</v>
      </c>
      <c r="B3" s="100"/>
      <c r="C3" s="100"/>
      <c r="D3" s="100"/>
      <c r="E3" s="96" t="s">
        <v>51</v>
      </c>
      <c r="F3" s="96"/>
      <c r="G3" s="96"/>
      <c r="H3" s="96"/>
      <c r="I3" s="96"/>
      <c r="J3" s="96"/>
      <c r="K3" s="96"/>
    </row>
    <row r="4" spans="1:29" ht="16" customHeight="1" thickBot="1" x14ac:dyDescent="0.4">
      <c r="A4" s="100" t="s">
        <v>52</v>
      </c>
      <c r="B4" s="100"/>
      <c r="C4" s="100"/>
      <c r="D4" s="100"/>
      <c r="E4" s="97">
        <v>171.6</v>
      </c>
      <c r="F4" s="97"/>
      <c r="G4" s="97"/>
      <c r="H4" s="97"/>
      <c r="I4" s="97"/>
      <c r="J4" s="97"/>
      <c r="K4" s="97"/>
    </row>
    <row r="5" spans="1:29" ht="32.15" customHeight="1" thickBot="1" x14ac:dyDescent="0.4">
      <c r="A5" s="99" t="s">
        <v>53</v>
      </c>
      <c r="B5" s="100"/>
      <c r="C5" s="100"/>
      <c r="D5" s="100"/>
      <c r="E5" s="98">
        <v>54789</v>
      </c>
      <c r="F5" s="96"/>
      <c r="G5" s="96"/>
      <c r="H5" s="96"/>
      <c r="I5" s="96"/>
      <c r="J5" s="96"/>
      <c r="K5" s="96"/>
    </row>
    <row r="6" spans="1:29" ht="16" customHeight="1" thickBot="1" x14ac:dyDescent="0.4">
      <c r="A6" s="100" t="s">
        <v>54</v>
      </c>
      <c r="B6" s="100"/>
      <c r="C6" s="100"/>
      <c r="D6" s="100"/>
      <c r="E6" s="96" t="s">
        <v>55</v>
      </c>
      <c r="F6" s="96"/>
      <c r="G6" s="96"/>
      <c r="H6" s="96"/>
      <c r="I6" s="96"/>
      <c r="J6" s="96"/>
      <c r="K6" s="96"/>
    </row>
    <row r="7" spans="1:29" ht="31" customHeight="1" thickBot="1" x14ac:dyDescent="0.4">
      <c r="A7" s="3" t="s">
        <v>9</v>
      </c>
      <c r="B7" s="11">
        <v>54402</v>
      </c>
      <c r="C7" s="11"/>
      <c r="D7" s="11"/>
      <c r="E7" s="11"/>
      <c r="F7" s="11"/>
      <c r="G7" s="11"/>
      <c r="H7" s="11"/>
      <c r="I7" s="11"/>
      <c r="J7" s="11"/>
      <c r="K7" s="11"/>
      <c r="L7" s="11"/>
      <c r="M7" s="11"/>
      <c r="N7" s="11"/>
      <c r="O7" s="11"/>
      <c r="P7" s="11"/>
      <c r="Q7" s="11"/>
      <c r="R7" s="11"/>
      <c r="S7" s="11"/>
      <c r="T7" s="11"/>
      <c r="U7" s="11"/>
      <c r="V7" s="11"/>
      <c r="W7" s="11"/>
      <c r="X7" s="11"/>
      <c r="Y7" s="11"/>
      <c r="Z7" s="11"/>
      <c r="AA7" s="11"/>
      <c r="AB7" s="11"/>
      <c r="AC7" s="11"/>
    </row>
    <row r="8" spans="1:29" ht="31" customHeight="1" thickBot="1" x14ac:dyDescent="0.4">
      <c r="A8" s="74" t="s">
        <v>10</v>
      </c>
      <c r="B8" s="79">
        <v>171.56</v>
      </c>
      <c r="C8" s="75"/>
      <c r="D8" s="75"/>
      <c r="E8" s="75"/>
      <c r="F8" s="75"/>
      <c r="G8" s="75"/>
      <c r="H8" s="75"/>
      <c r="I8" s="75"/>
      <c r="J8" s="75"/>
      <c r="K8" s="75"/>
      <c r="L8" s="18"/>
      <c r="M8" s="19"/>
      <c r="N8" s="19"/>
      <c r="O8" s="19"/>
      <c r="P8" s="19"/>
      <c r="Q8" s="19"/>
      <c r="R8" s="18"/>
      <c r="S8" s="19"/>
      <c r="T8" s="19"/>
      <c r="U8" s="19"/>
      <c r="V8" s="34"/>
      <c r="W8" s="34"/>
      <c r="X8" s="35"/>
      <c r="Y8" s="35"/>
      <c r="Z8" s="35"/>
      <c r="AA8" s="35"/>
      <c r="AB8" s="35"/>
      <c r="AC8" s="35"/>
    </row>
    <row r="9" spans="1:29" ht="31" customHeight="1" thickBot="1" x14ac:dyDescent="0.4">
      <c r="A9" s="51" t="s">
        <v>11</v>
      </c>
      <c r="B9" s="52">
        <v>56228</v>
      </c>
      <c r="C9" s="52">
        <v>56958</v>
      </c>
      <c r="D9" s="52"/>
      <c r="E9" s="52"/>
      <c r="F9" s="52"/>
      <c r="G9" s="52"/>
      <c r="H9" s="52"/>
      <c r="I9" s="52"/>
      <c r="J9" s="52"/>
      <c r="K9" s="52"/>
      <c r="L9" s="12"/>
      <c r="M9" s="12"/>
      <c r="N9" s="12"/>
      <c r="O9" s="12"/>
      <c r="P9" s="12"/>
      <c r="Q9" s="12"/>
      <c r="R9" s="12"/>
      <c r="S9" s="12"/>
      <c r="T9" s="12"/>
      <c r="U9" s="12"/>
      <c r="V9" s="12"/>
      <c r="W9" s="12"/>
      <c r="X9" s="12"/>
      <c r="Y9" s="12"/>
      <c r="Z9" s="12"/>
      <c r="AA9" s="12"/>
      <c r="AB9" s="12"/>
      <c r="AC9" s="12"/>
    </row>
    <row r="10" spans="1:29" ht="15" thickBot="1" x14ac:dyDescent="0.4">
      <c r="A10" s="1" t="s">
        <v>12</v>
      </c>
      <c r="B10" s="81" t="s">
        <v>13</v>
      </c>
      <c r="C10" s="82"/>
      <c r="D10" s="82"/>
      <c r="E10" s="82"/>
      <c r="F10" s="82"/>
      <c r="G10" s="82"/>
      <c r="H10" s="82"/>
      <c r="I10" s="82"/>
      <c r="J10" s="82"/>
      <c r="K10" s="83"/>
    </row>
    <row r="11" spans="1:29" ht="15" thickBot="1" x14ac:dyDescent="0.4">
      <c r="A11" s="23" t="s">
        <v>56</v>
      </c>
      <c r="B11" s="80">
        <v>171.56</v>
      </c>
      <c r="C11" s="64">
        <f>Table13[[#This Row],[Column2]]</f>
        <v>171.56</v>
      </c>
      <c r="D11" s="27"/>
      <c r="E11" s="27"/>
      <c r="F11" s="27"/>
      <c r="G11" s="27"/>
      <c r="H11" s="27"/>
      <c r="I11" s="27"/>
      <c r="J11" s="27"/>
      <c r="K11" s="27"/>
      <c r="L11" s="27"/>
      <c r="M11" s="27"/>
      <c r="N11" s="27"/>
      <c r="O11" s="27"/>
      <c r="P11" s="27"/>
      <c r="Q11" s="27"/>
      <c r="R11" s="27"/>
      <c r="S11" s="27"/>
      <c r="T11" s="27"/>
      <c r="U11" s="27"/>
      <c r="V11" s="27"/>
      <c r="W11" s="40"/>
      <c r="X11" s="40"/>
      <c r="Y11" s="40"/>
      <c r="Z11" s="40"/>
      <c r="AA11" s="40"/>
      <c r="AB11" s="40"/>
      <c r="AC11" s="40"/>
    </row>
    <row r="12" spans="1:29" ht="15" thickBot="1" x14ac:dyDescent="0.4">
      <c r="A12" s="23" t="s">
        <v>57</v>
      </c>
      <c r="B12" s="80">
        <v>171.56</v>
      </c>
      <c r="C12" s="64">
        <f>Table13[[#This Row],[Column2]]</f>
        <v>171.56</v>
      </c>
      <c r="D12" s="27"/>
      <c r="E12" s="27"/>
      <c r="F12" s="27"/>
      <c r="G12" s="27"/>
      <c r="H12" s="27"/>
      <c r="I12" s="28"/>
      <c r="J12" s="28"/>
      <c r="K12" s="27"/>
      <c r="L12" s="29"/>
      <c r="M12" s="28"/>
      <c r="N12" s="28"/>
      <c r="O12" s="28"/>
      <c r="P12" s="28"/>
      <c r="Q12" s="28"/>
      <c r="R12" s="28"/>
      <c r="S12" s="28"/>
      <c r="T12" s="28"/>
      <c r="U12" s="28"/>
      <c r="V12" s="28"/>
      <c r="W12" s="42"/>
      <c r="X12" s="40"/>
      <c r="Y12" s="40"/>
      <c r="Z12" s="40"/>
      <c r="AA12" s="40"/>
      <c r="AB12" s="40"/>
      <c r="AC12" s="40"/>
    </row>
    <row r="13" spans="1:29" ht="15" thickBot="1" x14ac:dyDescent="0.4">
      <c r="A13" s="23" t="s">
        <v>58</v>
      </c>
      <c r="B13" s="27"/>
      <c r="C13" s="80">
        <v>171.56</v>
      </c>
      <c r="D13" s="27"/>
      <c r="E13" s="27"/>
      <c r="F13" s="27"/>
      <c r="G13" s="27"/>
      <c r="H13" s="27"/>
      <c r="I13" s="28"/>
      <c r="J13" s="28"/>
      <c r="K13" s="27"/>
      <c r="L13" s="29"/>
      <c r="M13" s="28"/>
      <c r="N13" s="28"/>
      <c r="O13" s="28"/>
      <c r="P13" s="28"/>
      <c r="Q13" s="28"/>
      <c r="R13" s="28"/>
      <c r="S13" s="28"/>
      <c r="T13" s="28"/>
      <c r="U13" s="28"/>
      <c r="V13" s="28"/>
      <c r="W13" s="42"/>
      <c r="X13" s="42"/>
      <c r="Y13" s="40"/>
      <c r="Z13" s="40"/>
      <c r="AA13" s="40"/>
      <c r="AB13" s="40"/>
      <c r="AC13" s="40"/>
    </row>
    <row r="14" spans="1:29" ht="15" thickBot="1" x14ac:dyDescent="0.4">
      <c r="A14" s="4"/>
      <c r="B14" s="30"/>
      <c r="C14" s="30"/>
      <c r="D14" s="30"/>
      <c r="E14" s="30"/>
      <c r="F14" s="30"/>
      <c r="G14" s="30"/>
      <c r="H14" s="30"/>
      <c r="I14" s="30"/>
      <c r="J14" s="30"/>
      <c r="K14" s="31"/>
      <c r="L14" s="30"/>
      <c r="M14" s="30"/>
      <c r="N14" s="30"/>
      <c r="O14" s="30"/>
      <c r="P14" s="30"/>
      <c r="Q14" s="30"/>
      <c r="R14" s="30"/>
      <c r="S14" s="30"/>
      <c r="T14" s="30"/>
      <c r="U14" s="30"/>
      <c r="V14" s="30"/>
      <c r="W14" s="30"/>
      <c r="X14" s="30"/>
      <c r="Y14" s="30"/>
      <c r="Z14" s="30"/>
      <c r="AA14" s="30"/>
      <c r="AB14" s="30"/>
      <c r="AC14" s="30"/>
    </row>
    <row r="15" spans="1:29" x14ac:dyDescent="0.35">
      <c r="A15" s="5"/>
      <c r="B15" s="32"/>
      <c r="C15" s="32"/>
      <c r="D15" s="32"/>
      <c r="E15" s="32"/>
      <c r="F15" s="32"/>
      <c r="G15" s="32"/>
      <c r="H15" s="32"/>
      <c r="I15" s="32"/>
      <c r="J15" s="32"/>
      <c r="K15" s="33"/>
      <c r="L15" s="32"/>
      <c r="M15" s="32"/>
      <c r="N15" s="32"/>
      <c r="O15" s="32"/>
      <c r="P15" s="32"/>
      <c r="Q15" s="32"/>
      <c r="R15" s="32"/>
      <c r="S15" s="32"/>
      <c r="T15" s="32"/>
      <c r="U15" s="32"/>
      <c r="V15" s="32"/>
      <c r="W15" s="32"/>
      <c r="X15" s="32"/>
      <c r="Y15" s="32"/>
      <c r="Z15" s="32"/>
      <c r="AA15" s="32"/>
      <c r="AB15" s="32"/>
      <c r="AC15" s="32"/>
    </row>
    <row r="16" spans="1:29" x14ac:dyDescent="0.35">
      <c r="A16"/>
    </row>
    <row r="17" spans="1:29" x14ac:dyDescent="0.35">
      <c r="A17"/>
    </row>
    <row r="18" spans="1:29" ht="15" thickBot="1" x14ac:dyDescent="0.4"/>
    <row r="19" spans="1:29" x14ac:dyDescent="0.35">
      <c r="A19" s="87" t="s">
        <v>59</v>
      </c>
      <c r="B19" s="88"/>
      <c r="C19" s="88"/>
      <c r="D19" s="88"/>
      <c r="E19" s="88"/>
      <c r="F19" s="88"/>
      <c r="G19" s="88"/>
      <c r="H19" s="88"/>
      <c r="I19" s="88"/>
      <c r="J19" s="88"/>
      <c r="K19" s="89"/>
    </row>
    <row r="20" spans="1:29" x14ac:dyDescent="0.35">
      <c r="A20" s="90" t="s">
        <v>60</v>
      </c>
      <c r="B20" s="91"/>
      <c r="C20" s="91"/>
      <c r="D20" s="91"/>
      <c r="E20" s="91"/>
      <c r="F20" s="91"/>
      <c r="G20" s="91"/>
      <c r="H20" s="91"/>
      <c r="I20" s="91"/>
      <c r="J20" s="91"/>
      <c r="K20" s="92"/>
    </row>
    <row r="21" spans="1:29" x14ac:dyDescent="0.35">
      <c r="A21" s="90" t="s">
        <v>61</v>
      </c>
      <c r="B21" s="91"/>
      <c r="C21" s="91"/>
      <c r="D21" s="91"/>
      <c r="E21" s="91"/>
      <c r="F21" s="91"/>
      <c r="G21" s="91"/>
      <c r="H21" s="91"/>
      <c r="I21" s="91"/>
      <c r="J21" s="91"/>
      <c r="K21" s="92"/>
    </row>
    <row r="22" spans="1:29" ht="15" thickBot="1" x14ac:dyDescent="0.4">
      <c r="A22" s="84" t="s">
        <v>62</v>
      </c>
      <c r="B22" s="85"/>
      <c r="C22" s="85"/>
      <c r="D22" s="85"/>
      <c r="E22" s="85"/>
      <c r="F22" s="85"/>
      <c r="G22" s="85"/>
      <c r="H22" s="85"/>
      <c r="I22" s="85"/>
      <c r="J22" s="85"/>
      <c r="K22" s="86"/>
    </row>
    <row r="27" spans="1:29" hidden="1" x14ac:dyDescent="0.35">
      <c r="B27">
        <f>IF(SUM(B8,B11:B19)=SUM(A8,A11:A19),0,1)</f>
        <v>1</v>
      </c>
      <c r="C27">
        <f t="shared" ref="C27:AC27" si="0">IF(SUM(C8,C11:C19)=SUM(B8,B11:B19),0,1)</f>
        <v>0</v>
      </c>
      <c r="D27">
        <f t="shared" si="0"/>
        <v>1</v>
      </c>
      <c r="E27">
        <f t="shared" si="0"/>
        <v>0</v>
      </c>
      <c r="F27">
        <f t="shared" si="0"/>
        <v>0</v>
      </c>
      <c r="G27">
        <f t="shared" si="0"/>
        <v>0</v>
      </c>
      <c r="H27">
        <f t="shared" si="0"/>
        <v>0</v>
      </c>
      <c r="I27">
        <f t="shared" si="0"/>
        <v>0</v>
      </c>
      <c r="J27">
        <f t="shared" si="0"/>
        <v>0</v>
      </c>
      <c r="K27">
        <f t="shared" si="0"/>
        <v>0</v>
      </c>
      <c r="L27">
        <f t="shared" si="0"/>
        <v>0</v>
      </c>
      <c r="M27">
        <f t="shared" si="0"/>
        <v>0</v>
      </c>
      <c r="N27">
        <f t="shared" si="0"/>
        <v>0</v>
      </c>
      <c r="O27">
        <f t="shared" si="0"/>
        <v>0</v>
      </c>
      <c r="P27">
        <f t="shared" si="0"/>
        <v>0</v>
      </c>
      <c r="Q27">
        <f t="shared" si="0"/>
        <v>0</v>
      </c>
      <c r="R27">
        <f t="shared" si="0"/>
        <v>0</v>
      </c>
      <c r="S27">
        <f t="shared" si="0"/>
        <v>0</v>
      </c>
      <c r="T27">
        <f t="shared" si="0"/>
        <v>0</v>
      </c>
      <c r="U27">
        <f t="shared" si="0"/>
        <v>0</v>
      </c>
      <c r="V27">
        <f t="shared" si="0"/>
        <v>0</v>
      </c>
      <c r="W27">
        <f t="shared" si="0"/>
        <v>0</v>
      </c>
      <c r="X27">
        <f t="shared" si="0"/>
        <v>0</v>
      </c>
      <c r="Y27">
        <f t="shared" si="0"/>
        <v>0</v>
      </c>
      <c r="Z27">
        <f t="shared" si="0"/>
        <v>0</v>
      </c>
      <c r="AA27">
        <f t="shared" si="0"/>
        <v>0</v>
      </c>
      <c r="AB27">
        <f t="shared" si="0"/>
        <v>0</v>
      </c>
      <c r="AC27">
        <f t="shared" si="0"/>
        <v>0</v>
      </c>
    </row>
  </sheetData>
  <mergeCells count="16">
    <mergeCell ref="A22:K22"/>
    <mergeCell ref="A1:K1"/>
    <mergeCell ref="A2:D2"/>
    <mergeCell ref="E2:K2"/>
    <mergeCell ref="A3:D3"/>
    <mergeCell ref="E3:K3"/>
    <mergeCell ref="A4:D4"/>
    <mergeCell ref="E4:K4"/>
    <mergeCell ref="A19:K19"/>
    <mergeCell ref="A20:K20"/>
    <mergeCell ref="A21:K21"/>
    <mergeCell ref="B10:K10"/>
    <mergeCell ref="A5:D5"/>
    <mergeCell ref="E5:K5"/>
    <mergeCell ref="A6:D6"/>
    <mergeCell ref="E6:K6"/>
  </mergeCells>
  <conditionalFormatting sqref="C7:AC7">
    <cfRule type="containsText" dxfId="162" priority="3" operator="containsText" text="10/12/xxxx">
      <formula>NOT(ISERROR(SEARCH("10/12/xxxx",C7)))</formula>
    </cfRule>
  </conditionalFormatting>
  <conditionalFormatting sqref="B9:AC9">
    <cfRule type="containsText" dxfId="161" priority="2" operator="containsText" text="xx/xx/xxxx">
      <formula>NOT(ISERROR(SEARCH("xx/xx/xxxx",B9)))</formula>
    </cfRule>
  </conditionalFormatting>
  <conditionalFormatting sqref="B7">
    <cfRule type="containsText" dxfId="160" priority="1" operator="containsText" text="10/12/xxxx">
      <formula>NOT(ISERROR(SEARCH("10/12/xxxx",B7)))</formula>
    </cfRule>
  </conditionalFormatting>
  <dataValidations count="6">
    <dataValidation allowBlank="1" showInputMessage="1" showErrorMessage="1" prompt="Insert the Management Milestone number here (MM#)" sqref="A14:A15" xr:uid="{00000000-0002-0000-0200-000000000000}"/>
    <dataValidation allowBlank="1" showInputMessage="1" showErrorMessage="1" promptTitle="Insert Date" prompt="Please insert the date the area is available" sqref="B7:AC7" xr:uid="{00000000-0002-0000-0200-000001000000}"/>
    <dataValidation allowBlank="1" showInputMessage="1" showErrorMessage="1" promptTitle="Insert Area (ha)" prompt="Please insert the cumulative area available in hectares (ha)" sqref="C8:K8" xr:uid="{00000000-0002-0000-0200-000002000000}"/>
    <dataValidation allowBlank="1" showInputMessage="1" showErrorMessage="1" promptTitle="Insert Date" prompt="Please insert the date the milestone is to be completed by" sqref="B9:AC9" xr:uid="{00000000-0002-0000-0200-000003000000}"/>
    <dataValidation allowBlank="1" showInputMessage="1" showErrorMessage="1" promptTitle="Insert Area (ha)" prompt="Please insert the cumulative area achieved in hectares (ha) as required" sqref="B14:K15" xr:uid="{00000000-0002-0000-0200-000004000000}"/>
    <dataValidation allowBlank="1" showInputMessage="1" showErrorMessage="1" prompt="Please input the correct Improvement Area number (IA#)" sqref="E2:K2" xr:uid="{00000000-0002-0000-0200-000005000000}"/>
  </dataValidations>
  <pageMargins left="0.7" right="0.7" top="0.75" bottom="0.75" header="0.3" footer="0.3"/>
  <tableParts count="2">
    <tablePart r:id="rId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77103-D18E-457C-84C4-61F317F40714}">
  <sheetPr>
    <pageSetUpPr fitToPage="1"/>
  </sheetPr>
  <dimension ref="A1:C19"/>
  <sheetViews>
    <sheetView zoomScale="70" zoomScaleNormal="70" workbookViewId="0">
      <selection activeCell="B2" sqref="B2:C12"/>
    </sheetView>
  </sheetViews>
  <sheetFormatPr defaultRowHeight="14.5" x14ac:dyDescent="0.35"/>
  <cols>
    <col min="1" max="1" width="31.54296875" customWidth="1"/>
    <col min="2" max="2" width="41.54296875" customWidth="1"/>
    <col min="3" max="3" width="120.54296875" customWidth="1"/>
  </cols>
  <sheetData>
    <row r="1" spans="1:3" ht="23.25" customHeight="1" thickBot="1" x14ac:dyDescent="0.4">
      <c r="A1" s="6" t="s">
        <v>63</v>
      </c>
      <c r="B1" s="7" t="s">
        <v>64</v>
      </c>
      <c r="C1" s="8" t="s">
        <v>65</v>
      </c>
    </row>
    <row r="2" spans="1:3" ht="174.5" thickBot="1" x14ac:dyDescent="0.4">
      <c r="A2" s="4" t="s">
        <v>31</v>
      </c>
      <c r="B2" s="102" t="s">
        <v>66</v>
      </c>
      <c r="C2" s="103" t="s">
        <v>116</v>
      </c>
    </row>
    <row r="3" spans="1:3" ht="174.5" thickBot="1" x14ac:dyDescent="0.4">
      <c r="A3" s="4" t="s">
        <v>14</v>
      </c>
      <c r="B3" s="102" t="s">
        <v>117</v>
      </c>
      <c r="C3" s="103" t="s">
        <v>118</v>
      </c>
    </row>
    <row r="4" spans="1:3" ht="15" thickBot="1" x14ac:dyDescent="0.4">
      <c r="A4" s="4" t="s">
        <v>46</v>
      </c>
      <c r="B4" s="102" t="s">
        <v>67</v>
      </c>
      <c r="C4" s="103" t="s">
        <v>68</v>
      </c>
    </row>
    <row r="5" spans="1:3" ht="58.5" thickBot="1" x14ac:dyDescent="0.4">
      <c r="A5" s="4" t="s">
        <v>15</v>
      </c>
      <c r="B5" s="102" t="s">
        <v>69</v>
      </c>
      <c r="C5" s="103" t="s">
        <v>119</v>
      </c>
    </row>
    <row r="6" spans="1:3" ht="58.5" thickBot="1" x14ac:dyDescent="0.4">
      <c r="A6" s="4" t="s">
        <v>32</v>
      </c>
      <c r="B6" s="102" t="s">
        <v>70</v>
      </c>
      <c r="C6" s="103" t="s">
        <v>120</v>
      </c>
    </row>
    <row r="7" spans="1:3" ht="44" thickBot="1" x14ac:dyDescent="0.4">
      <c r="A7" s="4" t="s">
        <v>16</v>
      </c>
      <c r="B7" s="102" t="s">
        <v>121</v>
      </c>
      <c r="C7" s="103" t="s">
        <v>122</v>
      </c>
    </row>
    <row r="8" spans="1:3" ht="145.5" thickBot="1" x14ac:dyDescent="0.4">
      <c r="A8" s="4" t="s">
        <v>33</v>
      </c>
      <c r="B8" s="102" t="s">
        <v>71</v>
      </c>
      <c r="C8" s="103" t="s">
        <v>123</v>
      </c>
    </row>
    <row r="9" spans="1:3" ht="189" thickBot="1" x14ac:dyDescent="0.4">
      <c r="A9" s="4" t="s">
        <v>17</v>
      </c>
      <c r="B9" s="102" t="s">
        <v>72</v>
      </c>
      <c r="C9" s="103" t="s">
        <v>124</v>
      </c>
    </row>
    <row r="10" spans="1:3" ht="116.5" thickBot="1" x14ac:dyDescent="0.4">
      <c r="A10" s="5" t="s">
        <v>34</v>
      </c>
      <c r="B10" s="104" t="s">
        <v>73</v>
      </c>
      <c r="C10" s="105" t="s">
        <v>114</v>
      </c>
    </row>
    <row r="11" spans="1:3" ht="116.5" thickBot="1" x14ac:dyDescent="0.4">
      <c r="A11" s="4" t="s">
        <v>18</v>
      </c>
      <c r="B11" s="104" t="s">
        <v>74</v>
      </c>
      <c r="C11" s="103" t="s">
        <v>115</v>
      </c>
    </row>
    <row r="12" spans="1:3" ht="29.5" thickBot="1" x14ac:dyDescent="0.4">
      <c r="A12" s="4" t="s">
        <v>19</v>
      </c>
      <c r="B12" s="102" t="s">
        <v>75</v>
      </c>
      <c r="C12" s="106" t="s">
        <v>76</v>
      </c>
    </row>
    <row r="13" spans="1:3" ht="15" thickBot="1" x14ac:dyDescent="0.4">
      <c r="A13" s="4"/>
      <c r="B13" s="20"/>
      <c r="C13" s="22"/>
    </row>
    <row r="14" spans="1:3" ht="15" thickBot="1" x14ac:dyDescent="0.4">
      <c r="A14" s="4"/>
      <c r="B14" s="20"/>
      <c r="C14" s="22"/>
    </row>
    <row r="16" spans="1:3" ht="15" thickBot="1" x14ac:dyDescent="0.4"/>
    <row r="17" spans="1:3" x14ac:dyDescent="0.35">
      <c r="A17" s="87" t="s">
        <v>77</v>
      </c>
      <c r="B17" s="88"/>
      <c r="C17" s="89"/>
    </row>
    <row r="18" spans="1:3" x14ac:dyDescent="0.35">
      <c r="A18" s="90" t="s">
        <v>78</v>
      </c>
      <c r="B18" s="91"/>
      <c r="C18" s="92"/>
    </row>
    <row r="19" spans="1:3" ht="15" thickBot="1" x14ac:dyDescent="0.4">
      <c r="A19" s="84" t="s">
        <v>79</v>
      </c>
      <c r="B19" s="85"/>
      <c r="C19" s="86"/>
    </row>
  </sheetData>
  <mergeCells count="3">
    <mergeCell ref="A17:C17"/>
    <mergeCell ref="A18:C18"/>
    <mergeCell ref="A19:C19"/>
  </mergeCells>
  <pageMargins left="0.7" right="0.7" top="0.75" bottom="0.75" header="0.3" footer="0.3"/>
  <pageSetup paperSize="8" scale="63" orientation="landscape"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FB4CA-FB18-431A-9287-AAFEE4A805C3}">
  <sheetPr>
    <pageSetUpPr fitToPage="1"/>
  </sheetPr>
  <dimension ref="A1:C16"/>
  <sheetViews>
    <sheetView zoomScale="85" zoomScaleNormal="85" workbookViewId="0">
      <selection activeCell="C4" sqref="B1:C4"/>
    </sheetView>
  </sheetViews>
  <sheetFormatPr defaultRowHeight="14.5" x14ac:dyDescent="0.35"/>
  <cols>
    <col min="1" max="1" width="31.54296875" customWidth="1"/>
    <col min="2" max="2" width="41.54296875" customWidth="1"/>
    <col min="3" max="3" width="120.54296875" customWidth="1"/>
  </cols>
  <sheetData>
    <row r="1" spans="1:3" ht="23.25" customHeight="1" thickBot="1" x14ac:dyDescent="0.4">
      <c r="A1" s="6" t="s">
        <v>63</v>
      </c>
      <c r="B1" s="107" t="s">
        <v>80</v>
      </c>
      <c r="C1" s="108" t="s">
        <v>65</v>
      </c>
    </row>
    <row r="2" spans="1:3" ht="15" thickBot="1" x14ac:dyDescent="0.4">
      <c r="A2" s="4" t="s">
        <v>56</v>
      </c>
      <c r="B2" s="102" t="s">
        <v>81</v>
      </c>
      <c r="C2" s="109" t="s">
        <v>82</v>
      </c>
    </row>
    <row r="3" spans="1:3" ht="99" customHeight="1" thickBot="1" x14ac:dyDescent="0.4">
      <c r="A3" s="4" t="s">
        <v>57</v>
      </c>
      <c r="B3" s="102" t="s">
        <v>125</v>
      </c>
      <c r="C3" s="110" t="s">
        <v>126</v>
      </c>
    </row>
    <row r="4" spans="1:3" ht="121" customHeight="1" thickBot="1" x14ac:dyDescent="0.4">
      <c r="A4" s="4" t="s">
        <v>58</v>
      </c>
      <c r="B4" s="102" t="s">
        <v>83</v>
      </c>
      <c r="C4" s="110" t="s">
        <v>127</v>
      </c>
    </row>
    <row r="5" spans="1:3" ht="15" thickBot="1" x14ac:dyDescent="0.4">
      <c r="A5" s="4" t="s">
        <v>84</v>
      </c>
      <c r="B5" s="20"/>
      <c r="C5" s="9"/>
    </row>
    <row r="6" spans="1:3" ht="15" thickBot="1" x14ac:dyDescent="0.4">
      <c r="A6" s="4" t="s">
        <v>85</v>
      </c>
      <c r="B6" s="20"/>
      <c r="C6" s="9"/>
    </row>
    <row r="7" spans="1:3" ht="15" thickBot="1" x14ac:dyDescent="0.4">
      <c r="A7" s="4" t="s">
        <v>86</v>
      </c>
      <c r="B7" s="20"/>
      <c r="C7" s="9"/>
    </row>
    <row r="8" spans="1:3" ht="15" thickBot="1" x14ac:dyDescent="0.4">
      <c r="A8" s="4" t="s">
        <v>87</v>
      </c>
      <c r="B8" s="20"/>
      <c r="C8" s="9"/>
    </row>
    <row r="9" spans="1:3" ht="15" thickBot="1" x14ac:dyDescent="0.4">
      <c r="A9" s="5" t="s">
        <v>88</v>
      </c>
      <c r="B9" s="21"/>
      <c r="C9" s="10"/>
    </row>
    <row r="10" spans="1:3" ht="15" thickBot="1" x14ac:dyDescent="0.4">
      <c r="A10" s="4" t="s">
        <v>89</v>
      </c>
      <c r="B10" s="20"/>
      <c r="C10" s="9"/>
    </row>
    <row r="11" spans="1:3" ht="15" thickBot="1" x14ac:dyDescent="0.4">
      <c r="A11" s="4" t="s">
        <v>90</v>
      </c>
      <c r="B11" s="20"/>
      <c r="C11" s="9"/>
    </row>
    <row r="13" spans="1:3" ht="15" thickBot="1" x14ac:dyDescent="0.4"/>
    <row r="14" spans="1:3" x14ac:dyDescent="0.35">
      <c r="A14" s="87" t="s">
        <v>91</v>
      </c>
      <c r="B14" s="88"/>
      <c r="C14" s="89"/>
    </row>
    <row r="15" spans="1:3" x14ac:dyDescent="0.35">
      <c r="A15" s="90" t="s">
        <v>92</v>
      </c>
      <c r="B15" s="91"/>
      <c r="C15" s="92"/>
    </row>
    <row r="16" spans="1:3" ht="15" thickBot="1" x14ac:dyDescent="0.4">
      <c r="A16" s="84" t="s">
        <v>93</v>
      </c>
      <c r="B16" s="85"/>
      <c r="C16" s="86"/>
    </row>
  </sheetData>
  <mergeCells count="3">
    <mergeCell ref="A14:C14"/>
    <mergeCell ref="A15:C15"/>
    <mergeCell ref="A16:C16"/>
  </mergeCells>
  <pageMargins left="0.7" right="0.7" top="0.75" bottom="0.75" header="0.3" footer="0.3"/>
  <pageSetup paperSize="8" scale="99" orientation="landscape" verticalDpi="200"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7EDCA-D610-4350-BFC8-7B80C2E48A7C}">
  <dimension ref="A1:BN62"/>
  <sheetViews>
    <sheetView topLeftCell="S1" zoomScale="60" zoomScaleNormal="60" workbookViewId="0">
      <selection activeCell="CA3" sqref="CA3"/>
    </sheetView>
  </sheetViews>
  <sheetFormatPr defaultRowHeight="14.5" x14ac:dyDescent="0.35"/>
  <cols>
    <col min="3" max="3" width="9.1796875" bestFit="1" customWidth="1"/>
    <col min="4" max="8" width="11.54296875" bestFit="1" customWidth="1"/>
    <col min="9" max="9" width="11.26953125" bestFit="1" customWidth="1"/>
    <col min="10" max="18" width="11.54296875" bestFit="1" customWidth="1"/>
    <col min="19" max="19" width="11.26953125" bestFit="1" customWidth="1"/>
    <col min="20" max="28" width="11.54296875" bestFit="1" customWidth="1"/>
    <col min="29" max="29" width="11.26953125" bestFit="1" customWidth="1"/>
    <col min="30" max="38" width="11.54296875" bestFit="1" customWidth="1"/>
    <col min="39" max="39" width="11.26953125" bestFit="1" customWidth="1"/>
    <col min="40" max="48" width="11.54296875" bestFit="1" customWidth="1"/>
    <col min="49" max="49" width="11.26953125" bestFit="1" customWidth="1"/>
    <col min="50" max="58" width="11.54296875" bestFit="1" customWidth="1"/>
    <col min="59" max="59" width="11.26953125" bestFit="1" customWidth="1"/>
    <col min="60" max="66" width="11.54296875" bestFit="1" customWidth="1"/>
  </cols>
  <sheetData>
    <row r="1" spans="1:66" x14ac:dyDescent="0.35">
      <c r="C1" s="44">
        <v>46023</v>
      </c>
      <c r="D1" s="45">
        <f>EOMONTH(C1,11)</f>
        <v>46387</v>
      </c>
      <c r="E1" s="45">
        <f t="shared" ref="E1:BN1" si="0">EOMONTH(D1,12)</f>
        <v>46752</v>
      </c>
      <c r="F1" s="45">
        <f t="shared" si="0"/>
        <v>47118</v>
      </c>
      <c r="G1" s="45">
        <f t="shared" si="0"/>
        <v>47483</v>
      </c>
      <c r="H1" s="45">
        <f t="shared" si="0"/>
        <v>47848</v>
      </c>
      <c r="I1" s="45">
        <f t="shared" si="0"/>
        <v>48213</v>
      </c>
      <c r="J1" s="45">
        <f t="shared" si="0"/>
        <v>48579</v>
      </c>
      <c r="K1" s="45">
        <f t="shared" si="0"/>
        <v>48944</v>
      </c>
      <c r="L1" s="45">
        <f t="shared" si="0"/>
        <v>49309</v>
      </c>
      <c r="M1" s="45">
        <f t="shared" si="0"/>
        <v>49674</v>
      </c>
      <c r="N1" s="45">
        <f t="shared" si="0"/>
        <v>50040</v>
      </c>
      <c r="O1" s="45">
        <f t="shared" si="0"/>
        <v>50405</v>
      </c>
      <c r="P1" s="45">
        <f t="shared" si="0"/>
        <v>50770</v>
      </c>
      <c r="Q1" s="45">
        <f t="shared" si="0"/>
        <v>51135</v>
      </c>
      <c r="R1" s="45">
        <f t="shared" si="0"/>
        <v>51501</v>
      </c>
      <c r="S1" s="45">
        <f t="shared" si="0"/>
        <v>51866</v>
      </c>
      <c r="T1" s="45">
        <f t="shared" si="0"/>
        <v>52231</v>
      </c>
      <c r="U1" s="45">
        <f t="shared" si="0"/>
        <v>52596</v>
      </c>
      <c r="V1" s="45">
        <f t="shared" si="0"/>
        <v>52962</v>
      </c>
      <c r="W1" s="45">
        <f t="shared" si="0"/>
        <v>53327</v>
      </c>
      <c r="X1" s="45">
        <f t="shared" si="0"/>
        <v>53692</v>
      </c>
      <c r="Y1" s="45">
        <f t="shared" si="0"/>
        <v>54057</v>
      </c>
      <c r="Z1" s="45">
        <f t="shared" si="0"/>
        <v>54423</v>
      </c>
      <c r="AA1" s="45">
        <f t="shared" si="0"/>
        <v>54788</v>
      </c>
      <c r="AB1" s="45">
        <f t="shared" si="0"/>
        <v>55153</v>
      </c>
      <c r="AC1" s="45">
        <f t="shared" si="0"/>
        <v>55518</v>
      </c>
      <c r="AD1" s="45">
        <f t="shared" si="0"/>
        <v>55884</v>
      </c>
      <c r="AE1" s="45">
        <f t="shared" si="0"/>
        <v>56249</v>
      </c>
      <c r="AF1" s="45">
        <f t="shared" si="0"/>
        <v>56614</v>
      </c>
      <c r="AG1" s="45">
        <f t="shared" si="0"/>
        <v>56979</v>
      </c>
      <c r="AH1" s="45">
        <f t="shared" si="0"/>
        <v>57345</v>
      </c>
      <c r="AI1" s="45">
        <f t="shared" si="0"/>
        <v>57710</v>
      </c>
      <c r="AJ1" s="45">
        <f t="shared" si="0"/>
        <v>58075</v>
      </c>
      <c r="AK1" s="45">
        <f t="shared" si="0"/>
        <v>58440</v>
      </c>
      <c r="AL1" s="45">
        <f t="shared" si="0"/>
        <v>58806</v>
      </c>
      <c r="AM1" s="45">
        <f t="shared" si="0"/>
        <v>59171</v>
      </c>
      <c r="AN1" s="45">
        <f t="shared" si="0"/>
        <v>59536</v>
      </c>
      <c r="AO1" s="45">
        <f t="shared" si="0"/>
        <v>59901</v>
      </c>
      <c r="AP1" s="45">
        <f t="shared" si="0"/>
        <v>60267</v>
      </c>
      <c r="AQ1" s="45">
        <f t="shared" si="0"/>
        <v>60632</v>
      </c>
      <c r="AR1" s="45">
        <f t="shared" si="0"/>
        <v>60997</v>
      </c>
      <c r="AS1" s="45">
        <f t="shared" si="0"/>
        <v>61362</v>
      </c>
      <c r="AT1" s="45">
        <f t="shared" si="0"/>
        <v>61728</v>
      </c>
      <c r="AU1" s="45">
        <f t="shared" si="0"/>
        <v>62093</v>
      </c>
      <c r="AV1" s="45">
        <f t="shared" si="0"/>
        <v>62458</v>
      </c>
      <c r="AW1" s="45">
        <f t="shared" si="0"/>
        <v>62823</v>
      </c>
      <c r="AX1" s="45">
        <f t="shared" si="0"/>
        <v>63189</v>
      </c>
      <c r="AY1" s="45">
        <f t="shared" si="0"/>
        <v>63554</v>
      </c>
      <c r="AZ1" s="45">
        <f t="shared" si="0"/>
        <v>63919</v>
      </c>
      <c r="BA1" s="45">
        <f t="shared" si="0"/>
        <v>64284</v>
      </c>
      <c r="BB1" s="45">
        <f t="shared" si="0"/>
        <v>64650</v>
      </c>
      <c r="BC1" s="45">
        <f t="shared" si="0"/>
        <v>65015</v>
      </c>
      <c r="BD1" s="45">
        <f t="shared" si="0"/>
        <v>65380</v>
      </c>
      <c r="BE1" s="45">
        <f t="shared" si="0"/>
        <v>65745</v>
      </c>
      <c r="BF1" s="45">
        <f t="shared" si="0"/>
        <v>66111</v>
      </c>
      <c r="BG1" s="45">
        <f t="shared" si="0"/>
        <v>66476</v>
      </c>
      <c r="BH1" s="45">
        <f t="shared" si="0"/>
        <v>66841</v>
      </c>
      <c r="BI1" s="45">
        <f t="shared" si="0"/>
        <v>67206</v>
      </c>
      <c r="BJ1" s="45">
        <f t="shared" si="0"/>
        <v>67572</v>
      </c>
      <c r="BK1" s="45">
        <f t="shared" si="0"/>
        <v>67937</v>
      </c>
      <c r="BL1" s="45">
        <f t="shared" si="0"/>
        <v>68302</v>
      </c>
      <c r="BM1" s="45">
        <f t="shared" si="0"/>
        <v>68667</v>
      </c>
      <c r="BN1" s="45">
        <f t="shared" si="0"/>
        <v>69033</v>
      </c>
    </row>
    <row r="2" spans="1:66" x14ac:dyDescent="0.35">
      <c r="D2">
        <f>YEAR(D1)</f>
        <v>2026</v>
      </c>
      <c r="E2">
        <f t="shared" ref="E2:BN2" si="1">YEAR(E1)</f>
        <v>2027</v>
      </c>
      <c r="F2">
        <f t="shared" si="1"/>
        <v>2028</v>
      </c>
      <c r="G2">
        <f t="shared" si="1"/>
        <v>2029</v>
      </c>
      <c r="H2">
        <f t="shared" si="1"/>
        <v>2030</v>
      </c>
      <c r="I2">
        <f t="shared" si="1"/>
        <v>2031</v>
      </c>
      <c r="J2">
        <f t="shared" si="1"/>
        <v>2032</v>
      </c>
      <c r="K2">
        <f t="shared" si="1"/>
        <v>2033</v>
      </c>
      <c r="L2">
        <f t="shared" si="1"/>
        <v>2034</v>
      </c>
      <c r="M2">
        <f t="shared" si="1"/>
        <v>2035</v>
      </c>
      <c r="N2">
        <f t="shared" si="1"/>
        <v>2036</v>
      </c>
      <c r="O2">
        <f t="shared" si="1"/>
        <v>2037</v>
      </c>
      <c r="P2">
        <f t="shared" si="1"/>
        <v>2038</v>
      </c>
      <c r="Q2">
        <f t="shared" si="1"/>
        <v>2039</v>
      </c>
      <c r="R2">
        <f t="shared" si="1"/>
        <v>2040</v>
      </c>
      <c r="S2">
        <f t="shared" si="1"/>
        <v>2041</v>
      </c>
      <c r="T2">
        <f t="shared" si="1"/>
        <v>2042</v>
      </c>
      <c r="U2">
        <f t="shared" si="1"/>
        <v>2043</v>
      </c>
      <c r="V2">
        <f t="shared" si="1"/>
        <v>2044</v>
      </c>
      <c r="W2">
        <f t="shared" si="1"/>
        <v>2045</v>
      </c>
      <c r="X2">
        <f t="shared" si="1"/>
        <v>2046</v>
      </c>
      <c r="Y2">
        <f t="shared" si="1"/>
        <v>2047</v>
      </c>
      <c r="Z2">
        <f t="shared" si="1"/>
        <v>2048</v>
      </c>
      <c r="AA2">
        <f t="shared" si="1"/>
        <v>2049</v>
      </c>
      <c r="AB2">
        <f t="shared" si="1"/>
        <v>2050</v>
      </c>
      <c r="AC2">
        <f t="shared" si="1"/>
        <v>2051</v>
      </c>
      <c r="AD2">
        <f t="shared" si="1"/>
        <v>2052</v>
      </c>
      <c r="AE2">
        <f t="shared" si="1"/>
        <v>2053</v>
      </c>
      <c r="AF2">
        <f t="shared" si="1"/>
        <v>2054</v>
      </c>
      <c r="AG2">
        <f t="shared" si="1"/>
        <v>2055</v>
      </c>
      <c r="AH2">
        <f t="shared" si="1"/>
        <v>2056</v>
      </c>
      <c r="AI2">
        <f t="shared" si="1"/>
        <v>2057</v>
      </c>
      <c r="AJ2">
        <f t="shared" si="1"/>
        <v>2058</v>
      </c>
      <c r="AK2">
        <f t="shared" si="1"/>
        <v>2059</v>
      </c>
      <c r="AL2">
        <f t="shared" si="1"/>
        <v>2060</v>
      </c>
      <c r="AM2">
        <f t="shared" si="1"/>
        <v>2061</v>
      </c>
      <c r="AN2">
        <f t="shared" si="1"/>
        <v>2062</v>
      </c>
      <c r="AO2">
        <f t="shared" si="1"/>
        <v>2063</v>
      </c>
      <c r="AP2">
        <f t="shared" si="1"/>
        <v>2064</v>
      </c>
      <c r="AQ2">
        <f t="shared" si="1"/>
        <v>2065</v>
      </c>
      <c r="AR2">
        <f t="shared" si="1"/>
        <v>2066</v>
      </c>
      <c r="AS2">
        <f t="shared" si="1"/>
        <v>2067</v>
      </c>
      <c r="AT2">
        <f t="shared" si="1"/>
        <v>2068</v>
      </c>
      <c r="AU2">
        <f t="shared" si="1"/>
        <v>2069</v>
      </c>
      <c r="AV2">
        <f t="shared" si="1"/>
        <v>2070</v>
      </c>
      <c r="AW2">
        <f t="shared" si="1"/>
        <v>2071</v>
      </c>
      <c r="AX2">
        <f t="shared" si="1"/>
        <v>2072</v>
      </c>
      <c r="AY2">
        <f t="shared" si="1"/>
        <v>2073</v>
      </c>
      <c r="AZ2">
        <f t="shared" si="1"/>
        <v>2074</v>
      </c>
      <c r="BA2">
        <f t="shared" si="1"/>
        <v>2075</v>
      </c>
      <c r="BB2">
        <f t="shared" si="1"/>
        <v>2076</v>
      </c>
      <c r="BC2">
        <f t="shared" si="1"/>
        <v>2077</v>
      </c>
      <c r="BD2">
        <f t="shared" si="1"/>
        <v>2078</v>
      </c>
      <c r="BE2">
        <f t="shared" si="1"/>
        <v>2079</v>
      </c>
      <c r="BF2">
        <f t="shared" si="1"/>
        <v>2080</v>
      </c>
      <c r="BG2">
        <f t="shared" si="1"/>
        <v>2081</v>
      </c>
      <c r="BH2">
        <f t="shared" si="1"/>
        <v>2082</v>
      </c>
      <c r="BI2">
        <f t="shared" si="1"/>
        <v>2083</v>
      </c>
      <c r="BJ2">
        <f t="shared" si="1"/>
        <v>2084</v>
      </c>
      <c r="BK2">
        <f t="shared" si="1"/>
        <v>2085</v>
      </c>
      <c r="BL2">
        <f t="shared" si="1"/>
        <v>2086</v>
      </c>
      <c r="BM2">
        <f t="shared" si="1"/>
        <v>2087</v>
      </c>
      <c r="BN2">
        <f t="shared" si="1"/>
        <v>2088</v>
      </c>
    </row>
    <row r="4" spans="1:66" x14ac:dyDescent="0.35">
      <c r="A4" t="s">
        <v>94</v>
      </c>
    </row>
    <row r="5" spans="1:66" x14ac:dyDescent="0.35">
      <c r="B5" t="s">
        <v>95</v>
      </c>
      <c r="D5" s="49"/>
      <c r="E5" s="50">
        <v>65.500711716131164</v>
      </c>
      <c r="F5" s="50">
        <v>14.766445916114794</v>
      </c>
      <c r="G5" s="50">
        <v>52.445298422042356</v>
      </c>
      <c r="H5" s="50">
        <v>130.16836930749736</v>
      </c>
      <c r="I5" s="50">
        <v>35.30469708118715</v>
      </c>
      <c r="J5" s="50">
        <v>31.091572234486147</v>
      </c>
      <c r="K5" s="50">
        <v>25.331486387049303</v>
      </c>
      <c r="L5" s="50">
        <v>32.663925271850218</v>
      </c>
      <c r="M5" s="50">
        <v>29.171543618673869</v>
      </c>
      <c r="N5" s="50">
        <v>25.208432671081681</v>
      </c>
      <c r="O5" s="50">
        <v>24.973068023873772</v>
      </c>
      <c r="P5" s="50">
        <v>51.988241762734042</v>
      </c>
      <c r="Q5" s="50">
        <v>63.599238819393356</v>
      </c>
      <c r="R5" s="50">
        <v>18.913160820865016</v>
      </c>
      <c r="S5" s="50">
        <v>29.621763960428424</v>
      </c>
      <c r="T5" s="50">
        <v>27.946866159757999</v>
      </c>
      <c r="U5" s="50">
        <v>35.089841386640508</v>
      </c>
      <c r="V5" s="50">
        <v>12.757545172103674</v>
      </c>
      <c r="W5" s="50">
        <v>1.6055580083394654</v>
      </c>
      <c r="X5" s="46"/>
      <c r="Y5" s="46"/>
      <c r="Z5" s="46"/>
      <c r="AA5" s="46"/>
      <c r="AB5" s="46"/>
      <c r="AC5" s="46"/>
    </row>
    <row r="6" spans="1:66" x14ac:dyDescent="0.35">
      <c r="B6" t="s">
        <v>96</v>
      </c>
      <c r="D6" s="49"/>
      <c r="E6" s="50">
        <v>146.53549014798466</v>
      </c>
      <c r="F6" s="50">
        <v>159.32917014144391</v>
      </c>
      <c r="G6" s="50">
        <v>10.934201618837385</v>
      </c>
      <c r="H6" s="50">
        <v>100.87767844002946</v>
      </c>
      <c r="I6" s="50">
        <v>145.82255988880718</v>
      </c>
      <c r="J6" s="50">
        <v>0</v>
      </c>
      <c r="K6" s="50">
        <v>22.221938516883334</v>
      </c>
      <c r="L6" s="50">
        <v>0</v>
      </c>
      <c r="M6" s="50">
        <v>0</v>
      </c>
      <c r="N6" s="50">
        <v>0</v>
      </c>
      <c r="O6" s="50">
        <v>0</v>
      </c>
      <c r="P6" s="50">
        <v>0</v>
      </c>
      <c r="Q6" s="50">
        <v>139.53119450576409</v>
      </c>
      <c r="R6" s="50">
        <v>0</v>
      </c>
      <c r="S6" s="50">
        <v>0</v>
      </c>
      <c r="T6" s="50">
        <v>0</v>
      </c>
      <c r="U6" s="50">
        <v>0</v>
      </c>
      <c r="V6" s="50">
        <v>0</v>
      </c>
      <c r="W6" s="50">
        <v>0</v>
      </c>
      <c r="X6" s="47"/>
      <c r="Y6" s="47"/>
      <c r="Z6" s="47"/>
      <c r="AA6" s="47"/>
      <c r="AB6" s="47"/>
      <c r="AC6" s="47"/>
    </row>
    <row r="7" spans="1:66" x14ac:dyDescent="0.35">
      <c r="B7" t="s">
        <v>97</v>
      </c>
      <c r="D7" s="49"/>
      <c r="E7" s="50">
        <v>65.2</v>
      </c>
      <c r="F7" s="50"/>
      <c r="G7" s="50"/>
      <c r="H7" s="50"/>
      <c r="I7" s="50"/>
      <c r="J7" s="50"/>
      <c r="K7" s="50"/>
      <c r="L7" s="50"/>
      <c r="M7" s="50"/>
      <c r="N7" s="50"/>
      <c r="O7" s="50"/>
      <c r="P7" s="50"/>
      <c r="Q7" s="50"/>
      <c r="R7" s="50"/>
      <c r="S7" s="50"/>
      <c r="T7" s="50"/>
      <c r="U7" s="50"/>
      <c r="V7" s="50"/>
      <c r="W7" s="50"/>
    </row>
    <row r="8" spans="1:66" x14ac:dyDescent="0.35">
      <c r="B8" t="s">
        <v>98</v>
      </c>
      <c r="D8" s="49"/>
      <c r="E8" s="50">
        <v>216.9</v>
      </c>
      <c r="F8" s="50"/>
      <c r="G8" s="50"/>
      <c r="H8" s="50"/>
      <c r="I8" s="50"/>
      <c r="J8" s="50"/>
      <c r="K8" s="50"/>
      <c r="L8" s="50"/>
      <c r="M8" s="50"/>
      <c r="N8" s="50"/>
      <c r="O8" s="50"/>
      <c r="P8" s="50">
        <v>43.4</v>
      </c>
      <c r="Q8" s="50"/>
      <c r="R8" s="50"/>
      <c r="S8" s="50"/>
      <c r="T8" s="50"/>
      <c r="U8" s="50"/>
      <c r="V8" s="50"/>
      <c r="W8" s="50"/>
    </row>
    <row r="9" spans="1:66" x14ac:dyDescent="0.35">
      <c r="B9" t="s">
        <v>99</v>
      </c>
      <c r="D9" s="49"/>
      <c r="E9" s="50">
        <f>0.75*313.9</f>
        <v>235.42499999999998</v>
      </c>
      <c r="F9" s="50"/>
      <c r="G9" s="50"/>
      <c r="H9" s="50"/>
      <c r="I9" s="50"/>
      <c r="J9" s="50"/>
      <c r="K9" s="50"/>
      <c r="L9" s="50"/>
      <c r="M9" s="50"/>
      <c r="N9" s="50"/>
      <c r="O9" s="50"/>
      <c r="P9" s="50">
        <f>0.25*313.9</f>
        <v>78.474999999999994</v>
      </c>
      <c r="Q9" s="50"/>
      <c r="R9" s="50"/>
      <c r="S9" s="50"/>
      <c r="T9" s="50"/>
      <c r="U9" s="50"/>
      <c r="V9" s="50"/>
      <c r="W9" s="50"/>
    </row>
    <row r="10" spans="1:66" x14ac:dyDescent="0.35">
      <c r="E10" s="48"/>
      <c r="F10" s="48"/>
      <c r="G10" s="48"/>
      <c r="H10" s="48"/>
      <c r="I10" s="48"/>
      <c r="J10" s="48"/>
      <c r="K10" s="48"/>
      <c r="L10" s="48"/>
      <c r="M10" s="48"/>
      <c r="N10" s="48"/>
      <c r="O10" s="48"/>
      <c r="P10" s="48"/>
      <c r="Q10" s="48"/>
      <c r="R10" s="48"/>
      <c r="S10" s="48"/>
      <c r="T10" s="48"/>
      <c r="U10" s="48"/>
      <c r="V10" s="48"/>
      <c r="W10" s="48"/>
    </row>
    <row r="11" spans="1:66" x14ac:dyDescent="0.35">
      <c r="A11" t="s">
        <v>100</v>
      </c>
    </row>
    <row r="12" spans="1:66" x14ac:dyDescent="0.35">
      <c r="B12" t="s">
        <v>101</v>
      </c>
      <c r="D12" s="47">
        <f>IFERROR(INDEX('RA1- Elevated Dumps Upper'!$A$8:$BN$8,1,MATCH(Summary!D$1,'RA1- Elevated Dumps Upper'!$A$7:$BN$7,1)),0)+IFERROR(INDEX('RA2-Elevated Dumps Slopes'!$A$8:$BN$8,1,MATCH(Summary!D$1,'RA2-Elevated Dumps Slopes'!$A$7:$BN$7,1)),0)+IFERROR(INDEX('RA3-Backfilled Pits'!$A$8:$BN$8,1,MATCH(Summary!D$1,'RA3-Backfilled Pits'!$A$7:$BN$7,1)),0)+IFERROR(INDEX('RA4-Tracks_Roads'!$A$8:$BN$8,1,MATCH(Summary!D$1,'RA4-Tracks_Roads'!$A$7:$BN$7,1)),0)+IFERROR(INDEX('RA5-ROM'!$A$8:$BN$8,1,MATCH(Summary!D$1,'RA5-ROM'!$A$7:$BN$7,1)),0)+IFERROR(INDEX('RA6-CHPP'!$A$8:$BN$8,1,MATCH(Summary!D$1,'RA6-CHPP'!$A$7:$BN$7,1)),0)+IFERROR(INDEX('RA7-Mine Infrastructure Area'!$A$8:$BN$8,1,MATCH(Summary!D$1,'RA7-Mine Infrastructure Area'!$A$7:$BN$7,1)),0)+IFERROR(INDEX('RA8-Water Management Structures'!$A$8:$BN$8,1,MATCH(Summary!D$1,'RA8-Water Management Structures'!$A$7:$BN$7,1)),0)+IFERROR(INDEX('RA9-Codisposal Upper'!$A$8:$BN$8,1,MATCH(Summary!D$1,'RA9-Codisposal Upper'!$A$7:$BN$7,1)),0)+IFERROR(INDEX('RA10-Codisposal Slopes'!$A$8:$BN$8,1,MATCH(Summary!D$1,'RA10-Codisposal Slopes'!$A$7:$BN$7,1)),0)+IFERROR(INDEX('IA1-Final Void inc Ramps'!$A$8:$BN$8,1,MATCH(Summary!D$1,'IA1-Final Void inc Ramps'!$A$7:$BN$7,1)),0)</f>
        <v>0</v>
      </c>
      <c r="E12" s="47">
        <f>IFERROR(INDEX('RA1- Elevated Dumps Upper'!$A$8:$BN$8,1,MATCH(Summary!E$1,'RA1- Elevated Dumps Upper'!$A$7:$BN$7,1)),0)+IFERROR(INDEX('RA2-Elevated Dumps Slopes'!$A$8:$BN$8,1,MATCH(Summary!E$1,'RA2-Elevated Dumps Slopes'!$A$7:$BN$7,1)),0)+IFERROR(INDEX('RA3-Backfilled Pits'!$A$8:$BN$8,1,MATCH(Summary!E$1,'RA3-Backfilled Pits'!$A$7:$BN$7,1)),0)+IFERROR(INDEX('RA4-Tracks_Roads'!$A$8:$BN$8,1,MATCH(Summary!E$1,'RA4-Tracks_Roads'!$A$7:$BN$7,1)),0)+IFERROR(INDEX('RA5-ROM'!$A$8:$BN$8,1,MATCH(Summary!E$1,'RA5-ROM'!$A$7:$BN$7,1)),0)+IFERROR(INDEX('RA6-CHPP'!$A$8:$BN$8,1,MATCH(Summary!E$1,'RA6-CHPP'!$A$7:$BN$7,1)),0)+IFERROR(INDEX('RA7-Mine Infrastructure Area'!$A$8:$BN$8,1,MATCH(Summary!E$1,'RA7-Mine Infrastructure Area'!$A$7:$BN$7,1)),0)+IFERROR(INDEX('RA8-Water Management Structures'!$A$8:$BN$8,1,MATCH(Summary!E$1,'RA8-Water Management Structures'!$A$7:$BN$7,1)),0)+IFERROR(INDEX('RA9-Codisposal Upper'!$A$8:$BN$8,1,MATCH(Summary!E$1,'RA9-Codisposal Upper'!$A$7:$BN$7,1)),0)+IFERROR(INDEX('RA10-Codisposal Slopes'!$A$8:$BN$8,1,MATCH(Summary!E$1,'RA10-Codisposal Slopes'!$A$7:$BN$7,1)),0)+IFERROR(INDEX('IA1-Final Void inc Ramps'!$A$8:$BN$8,1,MATCH(Summary!E$1,'IA1-Final Void inc Ramps'!$A$7:$BN$7,1)),0)</f>
        <v>0</v>
      </c>
      <c r="F12" s="47">
        <f>IFERROR(INDEX('RA1- Elevated Dumps Upper'!$A$8:$BN$8,1,MATCH(Summary!F$1,'RA1- Elevated Dumps Upper'!$A$7:$BN$7,1)),0)+IFERROR(INDEX('RA2-Elevated Dumps Slopes'!$A$8:$BN$8,1,MATCH(Summary!F$1,'RA2-Elevated Dumps Slopes'!$A$7:$BN$7,1)),0)+IFERROR(INDEX('RA3-Backfilled Pits'!$A$8:$BN$8,1,MATCH(Summary!F$1,'RA3-Backfilled Pits'!$A$7:$BN$7,1)),0)+IFERROR(INDEX('RA4-Tracks_Roads'!$A$8:$BN$8,1,MATCH(Summary!F$1,'RA4-Tracks_Roads'!$A$7:$BN$7,1)),0)+IFERROR(INDEX('RA5-ROM'!$A$8:$BN$8,1,MATCH(Summary!F$1,'RA5-ROM'!$A$7:$BN$7,1)),0)+IFERROR(INDEX('RA6-CHPP'!$A$8:$BN$8,1,MATCH(Summary!F$1,'RA6-CHPP'!$A$7:$BN$7,1)),0)+IFERROR(INDEX('RA7-Mine Infrastructure Area'!$A$8:$BN$8,1,MATCH(Summary!F$1,'RA7-Mine Infrastructure Area'!$A$7:$BN$7,1)),0)+IFERROR(INDEX('RA8-Water Management Structures'!$A$8:$BN$8,1,MATCH(Summary!F$1,'RA8-Water Management Structures'!$A$7:$BN$7,1)),0)+IFERROR(INDEX('RA9-Codisposal Upper'!$A$8:$BN$8,1,MATCH(Summary!F$1,'RA9-Codisposal Upper'!$A$7:$BN$7,1)),0)+IFERROR(INDEX('RA10-Codisposal Slopes'!$A$8:$BN$8,1,MATCH(Summary!F$1,'RA10-Codisposal Slopes'!$A$7:$BN$7,1)),0)+IFERROR(INDEX('IA1-Final Void inc Ramps'!$A$8:$BN$8,1,MATCH(Summary!F$1,'IA1-Final Void inc Ramps'!$A$7:$BN$7,1)),0)</f>
        <v>33.869</v>
      </c>
      <c r="G12" s="47">
        <f>IFERROR(INDEX('RA1- Elevated Dumps Upper'!$A$8:$BN$8,1,MATCH(Summary!G$1,'RA1- Elevated Dumps Upper'!$A$7:$BN$7,1)),0)+IFERROR(INDEX('RA2-Elevated Dumps Slopes'!$A$8:$BN$8,1,MATCH(Summary!G$1,'RA2-Elevated Dumps Slopes'!$A$7:$BN$7,1)),0)+IFERROR(INDEX('RA3-Backfilled Pits'!$A$8:$BN$8,1,MATCH(Summary!G$1,'RA3-Backfilled Pits'!$A$7:$BN$7,1)),0)+IFERROR(INDEX('RA4-Tracks_Roads'!$A$8:$BN$8,1,MATCH(Summary!G$1,'RA4-Tracks_Roads'!$A$7:$BN$7,1)),0)+IFERROR(INDEX('RA5-ROM'!$A$8:$BN$8,1,MATCH(Summary!G$1,'RA5-ROM'!$A$7:$BN$7,1)),0)+IFERROR(INDEX('RA6-CHPP'!$A$8:$BN$8,1,MATCH(Summary!G$1,'RA6-CHPP'!$A$7:$BN$7,1)),0)+IFERROR(INDEX('RA7-Mine Infrastructure Area'!$A$8:$BN$8,1,MATCH(Summary!G$1,'RA7-Mine Infrastructure Area'!$A$7:$BN$7,1)),0)+IFERROR(INDEX('RA8-Water Management Structures'!$A$8:$BN$8,1,MATCH(Summary!G$1,'RA8-Water Management Structures'!$A$7:$BN$7,1)),0)+IFERROR(INDEX('RA9-Codisposal Upper'!$A$8:$BN$8,1,MATCH(Summary!G$1,'RA9-Codisposal Upper'!$A$7:$BN$7,1)),0)+IFERROR(INDEX('RA10-Codisposal Slopes'!$A$8:$BN$8,1,MATCH(Summary!G$1,'RA10-Codisposal Slopes'!$A$7:$BN$7,1)),0)+IFERROR(INDEX('IA1-Final Void inc Ramps'!$A$8:$BN$8,1,MATCH(Summary!G$1,'IA1-Final Void inc Ramps'!$A$7:$BN$7,1)),0)</f>
        <v>78.697000000000003</v>
      </c>
      <c r="H12" s="47">
        <f>IFERROR(INDEX('RA1- Elevated Dumps Upper'!$A$8:$BN$8,1,MATCH(Summary!H$1,'RA1- Elevated Dumps Upper'!$A$7:$BN$7,1)),0)+IFERROR(INDEX('RA2-Elevated Dumps Slopes'!$A$8:$BN$8,1,MATCH(Summary!H$1,'RA2-Elevated Dumps Slopes'!$A$7:$BN$7,1)),0)+IFERROR(INDEX('RA3-Backfilled Pits'!$A$8:$BN$8,1,MATCH(Summary!H$1,'RA3-Backfilled Pits'!$A$7:$BN$7,1)),0)+IFERROR(INDEX('RA4-Tracks_Roads'!$A$8:$BN$8,1,MATCH(Summary!H$1,'RA4-Tracks_Roads'!$A$7:$BN$7,1)),0)+IFERROR(INDEX('RA5-ROM'!$A$8:$BN$8,1,MATCH(Summary!H$1,'RA5-ROM'!$A$7:$BN$7,1)),0)+IFERROR(INDEX('RA6-CHPP'!$A$8:$BN$8,1,MATCH(Summary!H$1,'RA6-CHPP'!$A$7:$BN$7,1)),0)+IFERROR(INDEX('RA7-Mine Infrastructure Area'!$A$8:$BN$8,1,MATCH(Summary!H$1,'RA7-Mine Infrastructure Area'!$A$7:$BN$7,1)),0)+IFERROR(INDEX('RA8-Water Management Structures'!$A$8:$BN$8,1,MATCH(Summary!H$1,'RA8-Water Management Structures'!$A$7:$BN$7,1)),0)+IFERROR(INDEX('RA9-Codisposal Upper'!$A$8:$BN$8,1,MATCH(Summary!H$1,'RA9-Codisposal Upper'!$A$7:$BN$7,1)),0)+IFERROR(INDEX('RA10-Codisposal Slopes'!$A$8:$BN$8,1,MATCH(Summary!H$1,'RA10-Codisposal Slopes'!$A$7:$BN$7,1)),0)+IFERROR(INDEX('IA1-Final Void inc Ramps'!$A$8:$BN$8,1,MATCH(Summary!H$1,'IA1-Final Void inc Ramps'!$A$7:$BN$7,1)),0)</f>
        <v>129.40700000000001</v>
      </c>
      <c r="I12" s="47">
        <f>IFERROR(INDEX('RA1- Elevated Dumps Upper'!$A$8:$BN$8,1,MATCH(Summary!I$1,'RA1- Elevated Dumps Upper'!$A$7:$BN$7,1)),0)+IFERROR(INDEX('RA2-Elevated Dumps Slopes'!$A$8:$BN$8,1,MATCH(Summary!I$1,'RA2-Elevated Dumps Slopes'!$A$7:$BN$7,1)),0)+IFERROR(INDEX('RA3-Backfilled Pits'!$A$8:$BN$8,1,MATCH(Summary!I$1,'RA3-Backfilled Pits'!$A$7:$BN$7,1)),0)+IFERROR(INDEX('RA4-Tracks_Roads'!$A$8:$BN$8,1,MATCH(Summary!I$1,'RA4-Tracks_Roads'!$A$7:$BN$7,1)),0)+IFERROR(INDEX('RA5-ROM'!$A$8:$BN$8,1,MATCH(Summary!I$1,'RA5-ROM'!$A$7:$BN$7,1)),0)+IFERROR(INDEX('RA6-CHPP'!$A$8:$BN$8,1,MATCH(Summary!I$1,'RA6-CHPP'!$A$7:$BN$7,1)),0)+IFERROR(INDEX('RA7-Mine Infrastructure Area'!$A$8:$BN$8,1,MATCH(Summary!I$1,'RA7-Mine Infrastructure Area'!$A$7:$BN$7,1)),0)+IFERROR(INDEX('RA8-Water Management Structures'!$A$8:$BN$8,1,MATCH(Summary!I$1,'RA8-Water Management Structures'!$A$7:$BN$7,1)),0)+IFERROR(INDEX('RA9-Codisposal Upper'!$A$8:$BN$8,1,MATCH(Summary!I$1,'RA9-Codisposal Upper'!$A$7:$BN$7,1)),0)+IFERROR(INDEX('RA10-Codisposal Slopes'!$A$8:$BN$8,1,MATCH(Summary!I$1,'RA10-Codisposal Slopes'!$A$7:$BN$7,1)),0)+IFERROR(INDEX('IA1-Final Void inc Ramps'!$A$8:$BN$8,1,MATCH(Summary!I$1,'IA1-Final Void inc Ramps'!$A$7:$BN$7,1)),0)</f>
        <v>241.43900000000002</v>
      </c>
      <c r="J12" s="47">
        <f>IFERROR(INDEX('RA1- Elevated Dumps Upper'!$A$8:$BN$8,1,MATCH(Summary!J$1,'RA1- Elevated Dumps Upper'!$A$7:$BN$7,1)),0)+IFERROR(INDEX('RA2-Elevated Dumps Slopes'!$A$8:$BN$8,1,MATCH(Summary!J$1,'RA2-Elevated Dumps Slopes'!$A$7:$BN$7,1)),0)+IFERROR(INDEX('RA3-Backfilled Pits'!$A$8:$BN$8,1,MATCH(Summary!J$1,'RA3-Backfilled Pits'!$A$7:$BN$7,1)),0)+IFERROR(INDEX('RA4-Tracks_Roads'!$A$8:$BN$8,1,MATCH(Summary!J$1,'RA4-Tracks_Roads'!$A$7:$BN$7,1)),0)+IFERROR(INDEX('RA5-ROM'!$A$8:$BN$8,1,MATCH(Summary!J$1,'RA5-ROM'!$A$7:$BN$7,1)),0)+IFERROR(INDEX('RA6-CHPP'!$A$8:$BN$8,1,MATCH(Summary!J$1,'RA6-CHPP'!$A$7:$BN$7,1)),0)+IFERROR(INDEX('RA7-Mine Infrastructure Area'!$A$8:$BN$8,1,MATCH(Summary!J$1,'RA7-Mine Infrastructure Area'!$A$7:$BN$7,1)),0)+IFERROR(INDEX('RA8-Water Management Structures'!$A$8:$BN$8,1,MATCH(Summary!J$1,'RA8-Water Management Structures'!$A$7:$BN$7,1)),0)+IFERROR(INDEX('RA9-Codisposal Upper'!$A$8:$BN$8,1,MATCH(Summary!J$1,'RA9-Codisposal Upper'!$A$7:$BN$7,1)),0)+IFERROR(INDEX('RA10-Codisposal Slopes'!$A$8:$BN$8,1,MATCH(Summary!J$1,'RA10-Codisposal Slopes'!$A$7:$BN$7,1)),0)+IFERROR(INDEX('IA1-Final Void inc Ramps'!$A$8:$BN$8,1,MATCH(Summary!J$1,'IA1-Final Void inc Ramps'!$A$7:$BN$7,1)),0)</f>
        <v>433.27699999999999</v>
      </c>
      <c r="K12" s="47">
        <f>IFERROR(INDEX('RA1- Elevated Dumps Upper'!$A$8:$BN$8,1,MATCH(Summary!K$1,'RA1- Elevated Dumps Upper'!$A$7:$BN$7,1)),0)+IFERROR(INDEX('RA2-Elevated Dumps Slopes'!$A$8:$BN$8,1,MATCH(Summary!K$1,'RA2-Elevated Dumps Slopes'!$A$7:$BN$7,1)),0)+IFERROR(INDEX('RA3-Backfilled Pits'!$A$8:$BN$8,1,MATCH(Summary!K$1,'RA3-Backfilled Pits'!$A$7:$BN$7,1)),0)+IFERROR(INDEX('RA4-Tracks_Roads'!$A$8:$BN$8,1,MATCH(Summary!K$1,'RA4-Tracks_Roads'!$A$7:$BN$7,1)),0)+IFERROR(INDEX('RA5-ROM'!$A$8:$BN$8,1,MATCH(Summary!K$1,'RA5-ROM'!$A$7:$BN$7,1)),0)+IFERROR(INDEX('RA6-CHPP'!$A$8:$BN$8,1,MATCH(Summary!K$1,'RA6-CHPP'!$A$7:$BN$7,1)),0)+IFERROR(INDEX('RA7-Mine Infrastructure Area'!$A$8:$BN$8,1,MATCH(Summary!K$1,'RA7-Mine Infrastructure Area'!$A$7:$BN$7,1)),0)+IFERROR(INDEX('RA8-Water Management Structures'!$A$8:$BN$8,1,MATCH(Summary!K$1,'RA8-Water Management Structures'!$A$7:$BN$7,1)),0)+IFERROR(INDEX('RA9-Codisposal Upper'!$A$8:$BN$8,1,MATCH(Summary!K$1,'RA9-Codisposal Upper'!$A$7:$BN$7,1)),0)+IFERROR(INDEX('RA10-Codisposal Slopes'!$A$8:$BN$8,1,MATCH(Summary!K$1,'RA10-Codisposal Slopes'!$A$7:$BN$7,1)),0)+IFERROR(INDEX('IA1-Final Void inc Ramps'!$A$8:$BN$8,1,MATCH(Summary!K$1,'IA1-Final Void inc Ramps'!$A$7:$BN$7,1)),0)</f>
        <v>509.03999999999996</v>
      </c>
      <c r="L12" s="47">
        <f>IFERROR(INDEX('RA1- Elevated Dumps Upper'!$A$8:$BN$8,1,MATCH(Summary!L$1,'RA1- Elevated Dumps Upper'!$A$7:$BN$7,1)),0)+IFERROR(INDEX('RA2-Elevated Dumps Slopes'!$A$8:$BN$8,1,MATCH(Summary!L$1,'RA2-Elevated Dumps Slopes'!$A$7:$BN$7,1)),0)+IFERROR(INDEX('RA3-Backfilled Pits'!$A$8:$BN$8,1,MATCH(Summary!L$1,'RA3-Backfilled Pits'!$A$7:$BN$7,1)),0)+IFERROR(INDEX('RA4-Tracks_Roads'!$A$8:$BN$8,1,MATCH(Summary!L$1,'RA4-Tracks_Roads'!$A$7:$BN$7,1)),0)+IFERROR(INDEX('RA5-ROM'!$A$8:$BN$8,1,MATCH(Summary!L$1,'RA5-ROM'!$A$7:$BN$7,1)),0)+IFERROR(INDEX('RA6-CHPP'!$A$8:$BN$8,1,MATCH(Summary!L$1,'RA6-CHPP'!$A$7:$BN$7,1)),0)+IFERROR(INDEX('RA7-Mine Infrastructure Area'!$A$8:$BN$8,1,MATCH(Summary!L$1,'RA7-Mine Infrastructure Area'!$A$7:$BN$7,1)),0)+IFERROR(INDEX('RA8-Water Management Structures'!$A$8:$BN$8,1,MATCH(Summary!L$1,'RA8-Water Management Structures'!$A$7:$BN$7,1)),0)+IFERROR(INDEX('RA9-Codisposal Upper'!$A$8:$BN$8,1,MATCH(Summary!L$1,'RA9-Codisposal Upper'!$A$7:$BN$7,1)),0)+IFERROR(INDEX('RA10-Codisposal Slopes'!$A$8:$BN$8,1,MATCH(Summary!L$1,'RA10-Codisposal Slopes'!$A$7:$BN$7,1)),0)+IFERROR(INDEX('IA1-Final Void inc Ramps'!$A$8:$BN$8,1,MATCH(Summary!L$1,'IA1-Final Void inc Ramps'!$A$7:$BN$7,1)),0)</f>
        <v>543.51400000000001</v>
      </c>
      <c r="M12" s="47">
        <f>IFERROR(INDEX('RA1- Elevated Dumps Upper'!$A$8:$BN$8,1,MATCH(Summary!M$1,'RA1- Elevated Dumps Upper'!$A$7:$BN$7,1)),0)+IFERROR(INDEX('RA2-Elevated Dumps Slopes'!$A$8:$BN$8,1,MATCH(Summary!M$1,'RA2-Elevated Dumps Slopes'!$A$7:$BN$7,1)),0)+IFERROR(INDEX('RA3-Backfilled Pits'!$A$8:$BN$8,1,MATCH(Summary!M$1,'RA3-Backfilled Pits'!$A$7:$BN$7,1)),0)+IFERROR(INDEX('RA4-Tracks_Roads'!$A$8:$BN$8,1,MATCH(Summary!M$1,'RA4-Tracks_Roads'!$A$7:$BN$7,1)),0)+IFERROR(INDEX('RA5-ROM'!$A$8:$BN$8,1,MATCH(Summary!M$1,'RA5-ROM'!$A$7:$BN$7,1)),0)+IFERROR(INDEX('RA6-CHPP'!$A$8:$BN$8,1,MATCH(Summary!M$1,'RA6-CHPP'!$A$7:$BN$7,1)),0)+IFERROR(INDEX('RA7-Mine Infrastructure Area'!$A$8:$BN$8,1,MATCH(Summary!M$1,'RA7-Mine Infrastructure Area'!$A$7:$BN$7,1)),0)+IFERROR(INDEX('RA8-Water Management Structures'!$A$8:$BN$8,1,MATCH(Summary!M$1,'RA8-Water Management Structures'!$A$7:$BN$7,1)),0)+IFERROR(INDEX('RA9-Codisposal Upper'!$A$8:$BN$8,1,MATCH(Summary!M$1,'RA9-Codisposal Upper'!$A$7:$BN$7,1)),0)+IFERROR(INDEX('RA10-Codisposal Slopes'!$A$8:$BN$8,1,MATCH(Summary!M$1,'RA10-Codisposal Slopes'!$A$7:$BN$7,1)),0)+IFERROR(INDEX('IA1-Final Void inc Ramps'!$A$8:$BN$8,1,MATCH(Summary!M$1,'IA1-Final Void inc Ramps'!$A$7:$BN$7,1)),0)</f>
        <v>601.03399999999999</v>
      </c>
      <c r="N12" s="47">
        <f>IFERROR(INDEX('RA1- Elevated Dumps Upper'!$A$8:$BN$8,1,MATCH(Summary!N$1,'RA1- Elevated Dumps Upper'!$A$7:$BN$7,1)),0)+IFERROR(INDEX('RA2-Elevated Dumps Slopes'!$A$8:$BN$8,1,MATCH(Summary!N$1,'RA2-Elevated Dumps Slopes'!$A$7:$BN$7,1)),0)+IFERROR(INDEX('RA3-Backfilled Pits'!$A$8:$BN$8,1,MATCH(Summary!N$1,'RA3-Backfilled Pits'!$A$7:$BN$7,1)),0)+IFERROR(INDEX('RA4-Tracks_Roads'!$A$8:$BN$8,1,MATCH(Summary!N$1,'RA4-Tracks_Roads'!$A$7:$BN$7,1)),0)+IFERROR(INDEX('RA5-ROM'!$A$8:$BN$8,1,MATCH(Summary!N$1,'RA5-ROM'!$A$7:$BN$7,1)),0)+IFERROR(INDEX('RA6-CHPP'!$A$8:$BN$8,1,MATCH(Summary!N$1,'RA6-CHPP'!$A$7:$BN$7,1)),0)+IFERROR(INDEX('RA7-Mine Infrastructure Area'!$A$8:$BN$8,1,MATCH(Summary!N$1,'RA7-Mine Infrastructure Area'!$A$7:$BN$7,1)),0)+IFERROR(INDEX('RA8-Water Management Structures'!$A$8:$BN$8,1,MATCH(Summary!N$1,'RA8-Water Management Structures'!$A$7:$BN$7,1)),0)+IFERROR(INDEX('RA9-Codisposal Upper'!$A$8:$BN$8,1,MATCH(Summary!N$1,'RA9-Codisposal Upper'!$A$7:$BN$7,1)),0)+IFERROR(INDEX('RA10-Codisposal Slopes'!$A$8:$BN$8,1,MATCH(Summary!N$1,'RA10-Codisposal Slopes'!$A$7:$BN$7,1)),0)+IFERROR(INDEX('IA1-Final Void inc Ramps'!$A$8:$BN$8,1,MATCH(Summary!N$1,'IA1-Final Void inc Ramps'!$A$7:$BN$7,1)),0)</f>
        <v>657.9899999999999</v>
      </c>
      <c r="O12" s="47">
        <f>IFERROR(INDEX('RA1- Elevated Dumps Upper'!$A$8:$BN$8,1,MATCH(Summary!O$1,'RA1- Elevated Dumps Upper'!$A$7:$BN$7,1)),0)+IFERROR(INDEX('RA2-Elevated Dumps Slopes'!$A$8:$BN$8,1,MATCH(Summary!O$1,'RA2-Elevated Dumps Slopes'!$A$7:$BN$7,1)),0)+IFERROR(INDEX('RA3-Backfilled Pits'!$A$8:$BN$8,1,MATCH(Summary!O$1,'RA3-Backfilled Pits'!$A$7:$BN$7,1)),0)+IFERROR(INDEX('RA4-Tracks_Roads'!$A$8:$BN$8,1,MATCH(Summary!O$1,'RA4-Tracks_Roads'!$A$7:$BN$7,1)),0)+IFERROR(INDEX('RA5-ROM'!$A$8:$BN$8,1,MATCH(Summary!O$1,'RA5-ROM'!$A$7:$BN$7,1)),0)+IFERROR(INDEX('RA6-CHPP'!$A$8:$BN$8,1,MATCH(Summary!O$1,'RA6-CHPP'!$A$7:$BN$7,1)),0)+IFERROR(INDEX('RA7-Mine Infrastructure Area'!$A$8:$BN$8,1,MATCH(Summary!O$1,'RA7-Mine Infrastructure Area'!$A$7:$BN$7,1)),0)+IFERROR(INDEX('RA8-Water Management Structures'!$A$8:$BN$8,1,MATCH(Summary!O$1,'RA8-Water Management Structures'!$A$7:$BN$7,1)),0)+IFERROR(INDEX('RA9-Codisposal Upper'!$A$8:$BN$8,1,MATCH(Summary!O$1,'RA9-Codisposal Upper'!$A$7:$BN$7,1)),0)+IFERROR(INDEX('RA10-Codisposal Slopes'!$A$8:$BN$8,1,MATCH(Summary!O$1,'RA10-Codisposal Slopes'!$A$7:$BN$7,1)),0)+IFERROR(INDEX('IA1-Final Void inc Ramps'!$A$8:$BN$8,1,MATCH(Summary!O$1,'IA1-Final Void inc Ramps'!$A$7:$BN$7,1)),0)</f>
        <v>680.76199999999994</v>
      </c>
      <c r="P12" s="47">
        <f>IFERROR(INDEX('RA1- Elevated Dumps Upper'!$A$8:$BN$8,1,MATCH(Summary!P$1,'RA1- Elevated Dumps Upper'!$A$7:$BN$7,1)),0)+IFERROR(INDEX('RA2-Elevated Dumps Slopes'!$A$8:$BN$8,1,MATCH(Summary!P$1,'RA2-Elevated Dumps Slopes'!$A$7:$BN$7,1)),0)+IFERROR(INDEX('RA3-Backfilled Pits'!$A$8:$BN$8,1,MATCH(Summary!P$1,'RA3-Backfilled Pits'!$A$7:$BN$7,1)),0)+IFERROR(INDEX('RA4-Tracks_Roads'!$A$8:$BN$8,1,MATCH(Summary!P$1,'RA4-Tracks_Roads'!$A$7:$BN$7,1)),0)+IFERROR(INDEX('RA5-ROM'!$A$8:$BN$8,1,MATCH(Summary!P$1,'RA5-ROM'!$A$7:$BN$7,1)),0)+IFERROR(INDEX('RA6-CHPP'!$A$8:$BN$8,1,MATCH(Summary!P$1,'RA6-CHPP'!$A$7:$BN$7,1)),0)+IFERROR(INDEX('RA7-Mine Infrastructure Area'!$A$8:$BN$8,1,MATCH(Summary!P$1,'RA7-Mine Infrastructure Area'!$A$7:$BN$7,1)),0)+IFERROR(INDEX('RA8-Water Management Structures'!$A$8:$BN$8,1,MATCH(Summary!P$1,'RA8-Water Management Structures'!$A$7:$BN$7,1)),0)+IFERROR(INDEX('RA9-Codisposal Upper'!$A$8:$BN$8,1,MATCH(Summary!P$1,'RA9-Codisposal Upper'!$A$7:$BN$7,1)),0)+IFERROR(INDEX('RA10-Codisposal Slopes'!$A$8:$BN$8,1,MATCH(Summary!P$1,'RA10-Codisposal Slopes'!$A$7:$BN$7,1)),0)+IFERROR(INDEX('IA1-Final Void inc Ramps'!$A$8:$BN$8,1,MATCH(Summary!P$1,'IA1-Final Void inc Ramps'!$A$7:$BN$7,1)),0)</f>
        <v>701.06399999999985</v>
      </c>
      <c r="Q12" s="47">
        <f>IFERROR(INDEX('RA1- Elevated Dumps Upper'!$A$8:$BN$8,1,MATCH(Summary!Q$1,'RA1- Elevated Dumps Upper'!$A$7:$BN$7,1)),0)+IFERROR(INDEX('RA2-Elevated Dumps Slopes'!$A$8:$BN$8,1,MATCH(Summary!Q$1,'RA2-Elevated Dumps Slopes'!$A$7:$BN$7,1)),0)+IFERROR(INDEX('RA3-Backfilled Pits'!$A$8:$BN$8,1,MATCH(Summary!Q$1,'RA3-Backfilled Pits'!$A$7:$BN$7,1)),0)+IFERROR(INDEX('RA4-Tracks_Roads'!$A$8:$BN$8,1,MATCH(Summary!Q$1,'RA4-Tracks_Roads'!$A$7:$BN$7,1)),0)+IFERROR(INDEX('RA5-ROM'!$A$8:$BN$8,1,MATCH(Summary!Q$1,'RA5-ROM'!$A$7:$BN$7,1)),0)+IFERROR(INDEX('RA6-CHPP'!$A$8:$BN$8,1,MATCH(Summary!Q$1,'RA6-CHPP'!$A$7:$BN$7,1)),0)+IFERROR(INDEX('RA7-Mine Infrastructure Area'!$A$8:$BN$8,1,MATCH(Summary!Q$1,'RA7-Mine Infrastructure Area'!$A$7:$BN$7,1)),0)+IFERROR(INDEX('RA8-Water Management Structures'!$A$8:$BN$8,1,MATCH(Summary!Q$1,'RA8-Water Management Structures'!$A$7:$BN$7,1)),0)+IFERROR(INDEX('RA9-Codisposal Upper'!$A$8:$BN$8,1,MATCH(Summary!Q$1,'RA9-Codisposal Upper'!$A$7:$BN$7,1)),0)+IFERROR(INDEX('RA10-Codisposal Slopes'!$A$8:$BN$8,1,MATCH(Summary!Q$1,'RA10-Codisposal Slopes'!$A$7:$BN$7,1)),0)+IFERROR(INDEX('IA1-Final Void inc Ramps'!$A$8:$BN$8,1,MATCH(Summary!Q$1,'IA1-Final Void inc Ramps'!$A$7:$BN$7,1)),0)</f>
        <v>701.06399999999985</v>
      </c>
      <c r="R12" s="47">
        <f>IFERROR(INDEX('RA1- Elevated Dumps Upper'!$A$8:$BN$8,1,MATCH(Summary!R$1,'RA1- Elevated Dumps Upper'!$A$7:$BN$7,1)),0)+IFERROR(INDEX('RA2-Elevated Dumps Slopes'!$A$8:$BN$8,1,MATCH(Summary!R$1,'RA2-Elevated Dumps Slopes'!$A$7:$BN$7,1)),0)+IFERROR(INDEX('RA3-Backfilled Pits'!$A$8:$BN$8,1,MATCH(Summary!R$1,'RA3-Backfilled Pits'!$A$7:$BN$7,1)),0)+IFERROR(INDEX('RA4-Tracks_Roads'!$A$8:$BN$8,1,MATCH(Summary!R$1,'RA4-Tracks_Roads'!$A$7:$BN$7,1)),0)+IFERROR(INDEX('RA5-ROM'!$A$8:$BN$8,1,MATCH(Summary!R$1,'RA5-ROM'!$A$7:$BN$7,1)),0)+IFERROR(INDEX('RA6-CHPP'!$A$8:$BN$8,1,MATCH(Summary!R$1,'RA6-CHPP'!$A$7:$BN$7,1)),0)+IFERROR(INDEX('RA7-Mine Infrastructure Area'!$A$8:$BN$8,1,MATCH(Summary!R$1,'RA7-Mine Infrastructure Area'!$A$7:$BN$7,1)),0)+IFERROR(INDEX('RA8-Water Management Structures'!$A$8:$BN$8,1,MATCH(Summary!R$1,'RA8-Water Management Structures'!$A$7:$BN$7,1)),0)+IFERROR(INDEX('RA9-Codisposal Upper'!$A$8:$BN$8,1,MATCH(Summary!R$1,'RA9-Codisposal Upper'!$A$7:$BN$7,1)),0)+IFERROR(INDEX('RA10-Codisposal Slopes'!$A$8:$BN$8,1,MATCH(Summary!R$1,'RA10-Codisposal Slopes'!$A$7:$BN$7,1)),0)+IFERROR(INDEX('IA1-Final Void inc Ramps'!$A$8:$BN$8,1,MATCH(Summary!R$1,'IA1-Final Void inc Ramps'!$A$7:$BN$7,1)),0)</f>
        <v>725.3119999999999</v>
      </c>
      <c r="S12" s="47">
        <f>IFERROR(INDEX('RA1- Elevated Dumps Upper'!$A$8:$BN$8,1,MATCH(Summary!S$1,'RA1- Elevated Dumps Upper'!$A$7:$BN$7,1)),0)+IFERROR(INDEX('RA2-Elevated Dumps Slopes'!$A$8:$BN$8,1,MATCH(Summary!S$1,'RA2-Elevated Dumps Slopes'!$A$7:$BN$7,1)),0)+IFERROR(INDEX('RA3-Backfilled Pits'!$A$8:$BN$8,1,MATCH(Summary!S$1,'RA3-Backfilled Pits'!$A$7:$BN$7,1)),0)+IFERROR(INDEX('RA4-Tracks_Roads'!$A$8:$BN$8,1,MATCH(Summary!S$1,'RA4-Tracks_Roads'!$A$7:$BN$7,1)),0)+IFERROR(INDEX('RA5-ROM'!$A$8:$BN$8,1,MATCH(Summary!S$1,'RA5-ROM'!$A$7:$BN$7,1)),0)+IFERROR(INDEX('RA6-CHPP'!$A$8:$BN$8,1,MATCH(Summary!S$1,'RA6-CHPP'!$A$7:$BN$7,1)),0)+IFERROR(INDEX('RA7-Mine Infrastructure Area'!$A$8:$BN$8,1,MATCH(Summary!S$1,'RA7-Mine Infrastructure Area'!$A$7:$BN$7,1)),0)+IFERROR(INDEX('RA8-Water Management Structures'!$A$8:$BN$8,1,MATCH(Summary!S$1,'RA8-Water Management Structures'!$A$7:$BN$7,1)),0)+IFERROR(INDEX('RA9-Codisposal Upper'!$A$8:$BN$8,1,MATCH(Summary!S$1,'RA9-Codisposal Upper'!$A$7:$BN$7,1)),0)+IFERROR(INDEX('RA10-Codisposal Slopes'!$A$8:$BN$8,1,MATCH(Summary!S$1,'RA10-Codisposal Slopes'!$A$7:$BN$7,1)),0)+IFERROR(INDEX('IA1-Final Void inc Ramps'!$A$8:$BN$8,1,MATCH(Summary!S$1,'IA1-Final Void inc Ramps'!$A$7:$BN$7,1)),0)</f>
        <v>759.93</v>
      </c>
      <c r="T12" s="47">
        <f>IFERROR(INDEX('RA1- Elevated Dumps Upper'!$A$8:$BN$8,1,MATCH(Summary!T$1,'RA1- Elevated Dumps Upper'!$A$7:$BN$7,1)),0)+IFERROR(INDEX('RA2-Elevated Dumps Slopes'!$A$8:$BN$8,1,MATCH(Summary!T$1,'RA2-Elevated Dumps Slopes'!$A$7:$BN$7,1)),0)+IFERROR(INDEX('RA3-Backfilled Pits'!$A$8:$BN$8,1,MATCH(Summary!T$1,'RA3-Backfilled Pits'!$A$7:$BN$7,1)),0)+IFERROR(INDEX('RA4-Tracks_Roads'!$A$8:$BN$8,1,MATCH(Summary!T$1,'RA4-Tracks_Roads'!$A$7:$BN$7,1)),0)+IFERROR(INDEX('RA5-ROM'!$A$8:$BN$8,1,MATCH(Summary!T$1,'RA5-ROM'!$A$7:$BN$7,1)),0)+IFERROR(INDEX('RA6-CHPP'!$A$8:$BN$8,1,MATCH(Summary!T$1,'RA6-CHPP'!$A$7:$BN$7,1)),0)+IFERROR(INDEX('RA7-Mine Infrastructure Area'!$A$8:$BN$8,1,MATCH(Summary!T$1,'RA7-Mine Infrastructure Area'!$A$7:$BN$7,1)),0)+IFERROR(INDEX('RA8-Water Management Structures'!$A$8:$BN$8,1,MATCH(Summary!T$1,'RA8-Water Management Structures'!$A$7:$BN$7,1)),0)+IFERROR(INDEX('RA9-Codisposal Upper'!$A$8:$BN$8,1,MATCH(Summary!T$1,'RA9-Codisposal Upper'!$A$7:$BN$7,1)),0)+IFERROR(INDEX('RA10-Codisposal Slopes'!$A$8:$BN$8,1,MATCH(Summary!T$1,'RA10-Codisposal Slopes'!$A$7:$BN$7,1)),0)+IFERROR(INDEX('IA1-Final Void inc Ramps'!$A$8:$BN$8,1,MATCH(Summary!T$1,'IA1-Final Void inc Ramps'!$A$7:$BN$7,1)),0)</f>
        <v>825.22</v>
      </c>
      <c r="U12" s="47">
        <f>IFERROR(INDEX('RA1- Elevated Dumps Upper'!$A$8:$BN$8,1,MATCH(Summary!U$1,'RA1- Elevated Dumps Upper'!$A$7:$BN$7,1)),0)+IFERROR(INDEX('RA2-Elevated Dumps Slopes'!$A$8:$BN$8,1,MATCH(Summary!U$1,'RA2-Elevated Dumps Slopes'!$A$7:$BN$7,1)),0)+IFERROR(INDEX('RA3-Backfilled Pits'!$A$8:$BN$8,1,MATCH(Summary!U$1,'RA3-Backfilled Pits'!$A$7:$BN$7,1)),0)+IFERROR(INDEX('RA4-Tracks_Roads'!$A$8:$BN$8,1,MATCH(Summary!U$1,'RA4-Tracks_Roads'!$A$7:$BN$7,1)),0)+IFERROR(INDEX('RA5-ROM'!$A$8:$BN$8,1,MATCH(Summary!U$1,'RA5-ROM'!$A$7:$BN$7,1)),0)+IFERROR(INDEX('RA6-CHPP'!$A$8:$BN$8,1,MATCH(Summary!U$1,'RA6-CHPP'!$A$7:$BN$7,1)),0)+IFERROR(INDEX('RA7-Mine Infrastructure Area'!$A$8:$BN$8,1,MATCH(Summary!U$1,'RA7-Mine Infrastructure Area'!$A$7:$BN$7,1)),0)+IFERROR(INDEX('RA8-Water Management Structures'!$A$8:$BN$8,1,MATCH(Summary!U$1,'RA8-Water Management Structures'!$A$7:$BN$7,1)),0)+IFERROR(INDEX('RA9-Codisposal Upper'!$A$8:$BN$8,1,MATCH(Summary!U$1,'RA9-Codisposal Upper'!$A$7:$BN$7,1)),0)+IFERROR(INDEX('RA10-Codisposal Slopes'!$A$8:$BN$8,1,MATCH(Summary!U$1,'RA10-Codisposal Slopes'!$A$7:$BN$7,1)),0)+IFERROR(INDEX('IA1-Final Void inc Ramps'!$A$8:$BN$8,1,MATCH(Summary!U$1,'IA1-Final Void inc Ramps'!$A$7:$BN$7,1)),0)</f>
        <v>860.49299999999994</v>
      </c>
      <c r="V12" s="47">
        <f>IFERROR(INDEX('RA1- Elevated Dumps Upper'!$A$8:$BN$8,1,MATCH(Summary!V$1,'RA1- Elevated Dumps Upper'!$A$7:$BN$7,1)),0)+IFERROR(INDEX('RA2-Elevated Dumps Slopes'!$A$8:$BN$8,1,MATCH(Summary!V$1,'RA2-Elevated Dumps Slopes'!$A$7:$BN$7,1)),0)+IFERROR(INDEX('RA3-Backfilled Pits'!$A$8:$BN$8,1,MATCH(Summary!V$1,'RA3-Backfilled Pits'!$A$7:$BN$7,1)),0)+IFERROR(INDEX('RA4-Tracks_Roads'!$A$8:$BN$8,1,MATCH(Summary!V$1,'RA4-Tracks_Roads'!$A$7:$BN$7,1)),0)+IFERROR(INDEX('RA5-ROM'!$A$8:$BN$8,1,MATCH(Summary!V$1,'RA5-ROM'!$A$7:$BN$7,1)),0)+IFERROR(INDEX('RA6-CHPP'!$A$8:$BN$8,1,MATCH(Summary!V$1,'RA6-CHPP'!$A$7:$BN$7,1)),0)+IFERROR(INDEX('RA7-Mine Infrastructure Area'!$A$8:$BN$8,1,MATCH(Summary!V$1,'RA7-Mine Infrastructure Area'!$A$7:$BN$7,1)),0)+IFERROR(INDEX('RA8-Water Management Structures'!$A$8:$BN$8,1,MATCH(Summary!V$1,'RA8-Water Management Structures'!$A$7:$BN$7,1)),0)+IFERROR(INDEX('RA9-Codisposal Upper'!$A$8:$BN$8,1,MATCH(Summary!V$1,'RA9-Codisposal Upper'!$A$7:$BN$7,1)),0)+IFERROR(INDEX('RA10-Codisposal Slopes'!$A$8:$BN$8,1,MATCH(Summary!V$1,'RA10-Codisposal Slopes'!$A$7:$BN$7,1)),0)+IFERROR(INDEX('IA1-Final Void inc Ramps'!$A$8:$BN$8,1,MATCH(Summary!V$1,'IA1-Final Void inc Ramps'!$A$7:$BN$7,1)),0)</f>
        <v>860.49299999999994</v>
      </c>
      <c r="W12" s="47">
        <f>IFERROR(INDEX('RA1- Elevated Dumps Upper'!$A$8:$BN$8,1,MATCH(Summary!W$1,'RA1- Elevated Dumps Upper'!$A$7:$BN$7,1)),0)+IFERROR(INDEX('RA2-Elevated Dumps Slopes'!$A$8:$BN$8,1,MATCH(Summary!W$1,'RA2-Elevated Dumps Slopes'!$A$7:$BN$7,1)),0)+IFERROR(INDEX('RA3-Backfilled Pits'!$A$8:$BN$8,1,MATCH(Summary!W$1,'RA3-Backfilled Pits'!$A$7:$BN$7,1)),0)+IFERROR(INDEX('RA4-Tracks_Roads'!$A$8:$BN$8,1,MATCH(Summary!W$1,'RA4-Tracks_Roads'!$A$7:$BN$7,1)),0)+IFERROR(INDEX('RA5-ROM'!$A$8:$BN$8,1,MATCH(Summary!W$1,'RA5-ROM'!$A$7:$BN$7,1)),0)+IFERROR(INDEX('RA6-CHPP'!$A$8:$BN$8,1,MATCH(Summary!W$1,'RA6-CHPP'!$A$7:$BN$7,1)),0)+IFERROR(INDEX('RA7-Mine Infrastructure Area'!$A$8:$BN$8,1,MATCH(Summary!W$1,'RA7-Mine Infrastructure Area'!$A$7:$BN$7,1)),0)+IFERROR(INDEX('RA8-Water Management Structures'!$A$8:$BN$8,1,MATCH(Summary!W$1,'RA8-Water Management Structures'!$A$7:$BN$7,1)),0)+IFERROR(INDEX('RA9-Codisposal Upper'!$A$8:$BN$8,1,MATCH(Summary!W$1,'RA9-Codisposal Upper'!$A$7:$BN$7,1)),0)+IFERROR(INDEX('RA10-Codisposal Slopes'!$A$8:$BN$8,1,MATCH(Summary!W$1,'RA10-Codisposal Slopes'!$A$7:$BN$7,1)),0)+IFERROR(INDEX('IA1-Final Void inc Ramps'!$A$8:$BN$8,1,MATCH(Summary!W$1,'IA1-Final Void inc Ramps'!$A$7:$BN$7,1)),0)</f>
        <v>860.49299999999994</v>
      </c>
      <c r="X12" s="47">
        <f>IFERROR(INDEX('RA1- Elevated Dumps Upper'!$A$8:$BN$8,1,MATCH(Summary!X$1,'RA1- Elevated Dumps Upper'!$A$7:$BN$7,1)),0)+IFERROR(INDEX('RA2-Elevated Dumps Slopes'!$A$8:$BN$8,1,MATCH(Summary!X$1,'RA2-Elevated Dumps Slopes'!$A$7:$BN$7,1)),0)+IFERROR(INDEX('RA3-Backfilled Pits'!$A$8:$BN$8,1,MATCH(Summary!X$1,'RA3-Backfilled Pits'!$A$7:$BN$7,1)),0)+IFERROR(INDEX('RA4-Tracks_Roads'!$A$8:$BN$8,1,MATCH(Summary!X$1,'RA4-Tracks_Roads'!$A$7:$BN$7,1)),0)+IFERROR(INDEX('RA5-ROM'!$A$8:$BN$8,1,MATCH(Summary!X$1,'RA5-ROM'!$A$7:$BN$7,1)),0)+IFERROR(INDEX('RA6-CHPP'!$A$8:$BN$8,1,MATCH(Summary!X$1,'RA6-CHPP'!$A$7:$BN$7,1)),0)+IFERROR(INDEX('RA7-Mine Infrastructure Area'!$A$8:$BN$8,1,MATCH(Summary!X$1,'RA7-Mine Infrastructure Area'!$A$7:$BN$7,1)),0)+IFERROR(INDEX('RA8-Water Management Structures'!$A$8:$BN$8,1,MATCH(Summary!X$1,'RA8-Water Management Structures'!$A$7:$BN$7,1)),0)+IFERROR(INDEX('RA9-Codisposal Upper'!$A$8:$BN$8,1,MATCH(Summary!X$1,'RA9-Codisposal Upper'!$A$7:$BN$7,1)),0)+IFERROR(INDEX('RA10-Codisposal Slopes'!$A$8:$BN$8,1,MATCH(Summary!X$1,'RA10-Codisposal Slopes'!$A$7:$BN$7,1)),0)+IFERROR(INDEX('IA1-Final Void inc Ramps'!$A$8:$BN$8,1,MATCH(Summary!X$1,'IA1-Final Void inc Ramps'!$A$7:$BN$7,1)),0)</f>
        <v>860.49299999999994</v>
      </c>
      <c r="Y12" s="47">
        <f>IFERROR(INDEX('RA1- Elevated Dumps Upper'!$A$8:$BN$8,1,MATCH(Summary!Y$1,'RA1- Elevated Dumps Upper'!$A$7:$BN$7,1)),0)+IFERROR(INDEX('RA2-Elevated Dumps Slopes'!$A$8:$BN$8,1,MATCH(Summary!Y$1,'RA2-Elevated Dumps Slopes'!$A$7:$BN$7,1)),0)+IFERROR(INDEX('RA3-Backfilled Pits'!$A$8:$BN$8,1,MATCH(Summary!Y$1,'RA3-Backfilled Pits'!$A$7:$BN$7,1)),0)+IFERROR(INDEX('RA4-Tracks_Roads'!$A$8:$BN$8,1,MATCH(Summary!Y$1,'RA4-Tracks_Roads'!$A$7:$BN$7,1)),0)+IFERROR(INDEX('RA5-ROM'!$A$8:$BN$8,1,MATCH(Summary!Y$1,'RA5-ROM'!$A$7:$BN$7,1)),0)+IFERROR(INDEX('RA6-CHPP'!$A$8:$BN$8,1,MATCH(Summary!Y$1,'RA6-CHPP'!$A$7:$BN$7,1)),0)+IFERROR(INDEX('RA7-Mine Infrastructure Area'!$A$8:$BN$8,1,MATCH(Summary!Y$1,'RA7-Mine Infrastructure Area'!$A$7:$BN$7,1)),0)+IFERROR(INDEX('RA8-Water Management Structures'!$A$8:$BN$8,1,MATCH(Summary!Y$1,'RA8-Water Management Structures'!$A$7:$BN$7,1)),0)+IFERROR(INDEX('RA9-Codisposal Upper'!$A$8:$BN$8,1,MATCH(Summary!Y$1,'RA9-Codisposal Upper'!$A$7:$BN$7,1)),0)+IFERROR(INDEX('RA10-Codisposal Slopes'!$A$8:$BN$8,1,MATCH(Summary!Y$1,'RA10-Codisposal Slopes'!$A$7:$BN$7,1)),0)+IFERROR(INDEX('IA1-Final Void inc Ramps'!$A$8:$BN$8,1,MATCH(Summary!Y$1,'IA1-Final Void inc Ramps'!$A$7:$BN$7,1)),0)</f>
        <v>968.02099999999996</v>
      </c>
      <c r="Z12" s="47">
        <f>IFERROR(INDEX('RA1- Elevated Dumps Upper'!$A$8:$BN$8,1,MATCH(Summary!Z$1,'RA1- Elevated Dumps Upper'!$A$7:$BN$7,1)),0)+IFERROR(INDEX('RA2-Elevated Dumps Slopes'!$A$8:$BN$8,1,MATCH(Summary!Z$1,'RA2-Elevated Dumps Slopes'!$A$7:$BN$7,1)),0)+IFERROR(INDEX('RA3-Backfilled Pits'!$A$8:$BN$8,1,MATCH(Summary!Z$1,'RA3-Backfilled Pits'!$A$7:$BN$7,1)),0)+IFERROR(INDEX('RA4-Tracks_Roads'!$A$8:$BN$8,1,MATCH(Summary!Z$1,'RA4-Tracks_Roads'!$A$7:$BN$7,1)),0)+IFERROR(INDEX('RA5-ROM'!$A$8:$BN$8,1,MATCH(Summary!Z$1,'RA5-ROM'!$A$7:$BN$7,1)),0)+IFERROR(INDEX('RA6-CHPP'!$A$8:$BN$8,1,MATCH(Summary!Z$1,'RA6-CHPP'!$A$7:$BN$7,1)),0)+IFERROR(INDEX('RA7-Mine Infrastructure Area'!$A$8:$BN$8,1,MATCH(Summary!Z$1,'RA7-Mine Infrastructure Area'!$A$7:$BN$7,1)),0)+IFERROR(INDEX('RA8-Water Management Structures'!$A$8:$BN$8,1,MATCH(Summary!Z$1,'RA8-Water Management Structures'!$A$7:$BN$7,1)),0)+IFERROR(INDEX('RA9-Codisposal Upper'!$A$8:$BN$8,1,MATCH(Summary!Z$1,'RA9-Codisposal Upper'!$A$7:$BN$7,1)),0)+IFERROR(INDEX('RA10-Codisposal Slopes'!$A$8:$BN$8,1,MATCH(Summary!Z$1,'RA10-Codisposal Slopes'!$A$7:$BN$7,1)),0)+IFERROR(INDEX('IA1-Final Void inc Ramps'!$A$8:$BN$8,1,MATCH(Summary!Z$1,'IA1-Final Void inc Ramps'!$A$7:$BN$7,1)),0)</f>
        <v>1139.5809999999999</v>
      </c>
      <c r="AA12" s="47">
        <f>IFERROR(INDEX('RA1- Elevated Dumps Upper'!$A$8:$BN$8,1,MATCH(Summary!AA$1,'RA1- Elevated Dumps Upper'!$A$7:$BN$7,1)),0)+IFERROR(INDEX('RA2-Elevated Dumps Slopes'!$A$8:$BN$8,1,MATCH(Summary!AA$1,'RA2-Elevated Dumps Slopes'!$A$7:$BN$7,1)),0)+IFERROR(INDEX('RA3-Backfilled Pits'!$A$8:$BN$8,1,MATCH(Summary!AA$1,'RA3-Backfilled Pits'!$A$7:$BN$7,1)),0)+IFERROR(INDEX('RA4-Tracks_Roads'!$A$8:$BN$8,1,MATCH(Summary!AA$1,'RA4-Tracks_Roads'!$A$7:$BN$7,1)),0)+IFERROR(INDEX('RA5-ROM'!$A$8:$BN$8,1,MATCH(Summary!AA$1,'RA5-ROM'!$A$7:$BN$7,1)),0)+IFERROR(INDEX('RA6-CHPP'!$A$8:$BN$8,1,MATCH(Summary!AA$1,'RA6-CHPP'!$A$7:$BN$7,1)),0)+IFERROR(INDEX('RA7-Mine Infrastructure Area'!$A$8:$BN$8,1,MATCH(Summary!AA$1,'RA7-Mine Infrastructure Area'!$A$7:$BN$7,1)),0)+IFERROR(INDEX('RA8-Water Management Structures'!$A$8:$BN$8,1,MATCH(Summary!AA$1,'RA8-Water Management Structures'!$A$7:$BN$7,1)),0)+IFERROR(INDEX('RA9-Codisposal Upper'!$A$8:$BN$8,1,MATCH(Summary!AA$1,'RA9-Codisposal Upper'!$A$7:$BN$7,1)),0)+IFERROR(INDEX('RA10-Codisposal Slopes'!$A$8:$BN$8,1,MATCH(Summary!AA$1,'RA10-Codisposal Slopes'!$A$7:$BN$7,1)),0)+IFERROR(INDEX('IA1-Final Void inc Ramps'!$A$8:$BN$8,1,MATCH(Summary!AA$1,'IA1-Final Void inc Ramps'!$A$7:$BN$7,1)),0)</f>
        <v>1549.7969999999998</v>
      </c>
      <c r="AB12" s="47">
        <f>IFERROR(INDEX('RA1- Elevated Dumps Upper'!$A$8:$BN$8,1,MATCH(Summary!AB$1,'RA1- Elevated Dumps Upper'!$A$7:$BN$7,1)),0)+IFERROR(INDEX('RA2-Elevated Dumps Slopes'!$A$8:$BN$8,1,MATCH(Summary!AB$1,'RA2-Elevated Dumps Slopes'!$A$7:$BN$7,1)),0)+IFERROR(INDEX('RA3-Backfilled Pits'!$A$8:$BN$8,1,MATCH(Summary!AB$1,'RA3-Backfilled Pits'!$A$7:$BN$7,1)),0)+IFERROR(INDEX('RA4-Tracks_Roads'!$A$8:$BN$8,1,MATCH(Summary!AB$1,'RA4-Tracks_Roads'!$A$7:$BN$7,1)),0)+IFERROR(INDEX('RA5-ROM'!$A$8:$BN$8,1,MATCH(Summary!AB$1,'RA5-ROM'!$A$7:$BN$7,1)),0)+IFERROR(INDEX('RA6-CHPP'!$A$8:$BN$8,1,MATCH(Summary!AB$1,'RA6-CHPP'!$A$7:$BN$7,1)),0)+IFERROR(INDEX('RA7-Mine Infrastructure Area'!$A$8:$BN$8,1,MATCH(Summary!AB$1,'RA7-Mine Infrastructure Area'!$A$7:$BN$7,1)),0)+IFERROR(INDEX('RA8-Water Management Structures'!$A$8:$BN$8,1,MATCH(Summary!AB$1,'RA8-Water Management Structures'!$A$7:$BN$7,1)),0)+IFERROR(INDEX('RA9-Codisposal Upper'!$A$8:$BN$8,1,MATCH(Summary!AB$1,'RA9-Codisposal Upper'!$A$7:$BN$7,1)),0)+IFERROR(INDEX('RA10-Codisposal Slopes'!$A$8:$BN$8,1,MATCH(Summary!AB$1,'RA10-Codisposal Slopes'!$A$7:$BN$7,1)),0)+IFERROR(INDEX('IA1-Final Void inc Ramps'!$A$8:$BN$8,1,MATCH(Summary!AB$1,'IA1-Final Void inc Ramps'!$A$7:$BN$7,1)),0)</f>
        <v>1582.49</v>
      </c>
      <c r="AC12" s="47">
        <f>IFERROR(INDEX('RA1- Elevated Dumps Upper'!$A$8:$BN$8,1,MATCH(Summary!AC$1,'RA1- Elevated Dumps Upper'!$A$7:$BN$7,1)),0)+IFERROR(INDEX('RA2-Elevated Dumps Slopes'!$A$8:$BN$8,1,MATCH(Summary!AC$1,'RA2-Elevated Dumps Slopes'!$A$7:$BN$7,1)),0)+IFERROR(INDEX('RA3-Backfilled Pits'!$A$8:$BN$8,1,MATCH(Summary!AC$1,'RA3-Backfilled Pits'!$A$7:$BN$7,1)),0)+IFERROR(INDEX('RA4-Tracks_Roads'!$A$8:$BN$8,1,MATCH(Summary!AC$1,'RA4-Tracks_Roads'!$A$7:$BN$7,1)),0)+IFERROR(INDEX('RA5-ROM'!$A$8:$BN$8,1,MATCH(Summary!AC$1,'RA5-ROM'!$A$7:$BN$7,1)),0)+IFERROR(INDEX('RA6-CHPP'!$A$8:$BN$8,1,MATCH(Summary!AC$1,'RA6-CHPP'!$A$7:$BN$7,1)),0)+IFERROR(INDEX('RA7-Mine Infrastructure Area'!$A$8:$BN$8,1,MATCH(Summary!AC$1,'RA7-Mine Infrastructure Area'!$A$7:$BN$7,1)),0)+IFERROR(INDEX('RA8-Water Management Structures'!$A$8:$BN$8,1,MATCH(Summary!AC$1,'RA8-Water Management Structures'!$A$7:$BN$7,1)),0)+IFERROR(INDEX('RA9-Codisposal Upper'!$A$8:$BN$8,1,MATCH(Summary!AC$1,'RA9-Codisposal Upper'!$A$7:$BN$7,1)),0)+IFERROR(INDEX('RA10-Codisposal Slopes'!$A$8:$BN$8,1,MATCH(Summary!AC$1,'RA10-Codisposal Slopes'!$A$7:$BN$7,1)),0)+IFERROR(INDEX('IA1-Final Void inc Ramps'!$A$8:$BN$8,1,MATCH(Summary!AC$1,'IA1-Final Void inc Ramps'!$A$7:$BN$7,1)),0)</f>
        <v>1980.2109999999998</v>
      </c>
      <c r="AD12" s="47">
        <f>IFERROR(INDEX('RA1- Elevated Dumps Upper'!$A$8:$BN$8,1,MATCH(Summary!AD$1,'RA1- Elevated Dumps Upper'!$A$7:$BN$7,1)),0)+IFERROR(INDEX('RA2-Elevated Dumps Slopes'!$A$8:$BN$8,1,MATCH(Summary!AD$1,'RA2-Elevated Dumps Slopes'!$A$7:$BN$7,1)),0)+IFERROR(INDEX('RA3-Backfilled Pits'!$A$8:$BN$8,1,MATCH(Summary!AD$1,'RA3-Backfilled Pits'!$A$7:$BN$7,1)),0)+IFERROR(INDEX('RA4-Tracks_Roads'!$A$8:$BN$8,1,MATCH(Summary!AD$1,'RA4-Tracks_Roads'!$A$7:$BN$7,1)),0)+IFERROR(INDEX('RA5-ROM'!$A$8:$BN$8,1,MATCH(Summary!AD$1,'RA5-ROM'!$A$7:$BN$7,1)),0)+IFERROR(INDEX('RA6-CHPP'!$A$8:$BN$8,1,MATCH(Summary!AD$1,'RA6-CHPP'!$A$7:$BN$7,1)),0)+IFERROR(INDEX('RA7-Mine Infrastructure Area'!$A$8:$BN$8,1,MATCH(Summary!AD$1,'RA7-Mine Infrastructure Area'!$A$7:$BN$7,1)),0)+IFERROR(INDEX('RA8-Water Management Structures'!$A$8:$BN$8,1,MATCH(Summary!AD$1,'RA8-Water Management Structures'!$A$7:$BN$7,1)),0)+IFERROR(INDEX('RA9-Codisposal Upper'!$A$8:$BN$8,1,MATCH(Summary!AD$1,'RA9-Codisposal Upper'!$A$7:$BN$7,1)),0)+IFERROR(INDEX('RA10-Codisposal Slopes'!$A$8:$BN$8,1,MATCH(Summary!AD$1,'RA10-Codisposal Slopes'!$A$7:$BN$7,1)),0)+IFERROR(INDEX('IA1-Final Void inc Ramps'!$A$8:$BN$8,1,MATCH(Summary!AD$1,'IA1-Final Void inc Ramps'!$A$7:$BN$7,1)),0)</f>
        <v>2072.7109999999998</v>
      </c>
      <c r="AE12" s="47">
        <f>IFERROR(INDEX('RA1- Elevated Dumps Upper'!$A$8:$BN$8,1,MATCH(Summary!AE$1,'RA1- Elevated Dumps Upper'!$A$7:$BN$7,1)),0)+IFERROR(INDEX('RA2-Elevated Dumps Slopes'!$A$8:$BN$8,1,MATCH(Summary!AE$1,'RA2-Elevated Dumps Slopes'!$A$7:$BN$7,1)),0)+IFERROR(INDEX('RA3-Backfilled Pits'!$A$8:$BN$8,1,MATCH(Summary!AE$1,'RA3-Backfilled Pits'!$A$7:$BN$7,1)),0)+IFERROR(INDEX('RA4-Tracks_Roads'!$A$8:$BN$8,1,MATCH(Summary!AE$1,'RA4-Tracks_Roads'!$A$7:$BN$7,1)),0)+IFERROR(INDEX('RA5-ROM'!$A$8:$BN$8,1,MATCH(Summary!AE$1,'RA5-ROM'!$A$7:$BN$7,1)),0)+IFERROR(INDEX('RA6-CHPP'!$A$8:$BN$8,1,MATCH(Summary!AE$1,'RA6-CHPP'!$A$7:$BN$7,1)),0)+IFERROR(INDEX('RA7-Mine Infrastructure Area'!$A$8:$BN$8,1,MATCH(Summary!AE$1,'RA7-Mine Infrastructure Area'!$A$7:$BN$7,1)),0)+IFERROR(INDEX('RA8-Water Management Structures'!$A$8:$BN$8,1,MATCH(Summary!AE$1,'RA8-Water Management Structures'!$A$7:$BN$7,1)),0)+IFERROR(INDEX('RA9-Codisposal Upper'!$A$8:$BN$8,1,MATCH(Summary!AE$1,'RA9-Codisposal Upper'!$A$7:$BN$7,1)),0)+IFERROR(INDEX('RA10-Codisposal Slopes'!$A$8:$BN$8,1,MATCH(Summary!AE$1,'RA10-Codisposal Slopes'!$A$7:$BN$7,1)),0)+IFERROR(INDEX('IA1-Final Void inc Ramps'!$A$8:$BN$8,1,MATCH(Summary!AE$1,'IA1-Final Void inc Ramps'!$A$7:$BN$7,1)),0)</f>
        <v>2072.7109999999998</v>
      </c>
      <c r="AF12" s="47">
        <f>IFERROR(INDEX('RA1- Elevated Dumps Upper'!$A$8:$BN$8,1,MATCH(Summary!AF$1,'RA1- Elevated Dumps Upper'!$A$7:$BN$7,1)),0)+IFERROR(INDEX('RA2-Elevated Dumps Slopes'!$A$8:$BN$8,1,MATCH(Summary!AF$1,'RA2-Elevated Dumps Slopes'!$A$7:$BN$7,1)),0)+IFERROR(INDEX('RA3-Backfilled Pits'!$A$8:$BN$8,1,MATCH(Summary!AF$1,'RA3-Backfilled Pits'!$A$7:$BN$7,1)),0)+IFERROR(INDEX('RA4-Tracks_Roads'!$A$8:$BN$8,1,MATCH(Summary!AF$1,'RA4-Tracks_Roads'!$A$7:$BN$7,1)),0)+IFERROR(INDEX('RA5-ROM'!$A$8:$BN$8,1,MATCH(Summary!AF$1,'RA5-ROM'!$A$7:$BN$7,1)),0)+IFERROR(INDEX('RA6-CHPP'!$A$8:$BN$8,1,MATCH(Summary!AF$1,'RA6-CHPP'!$A$7:$BN$7,1)),0)+IFERROR(INDEX('RA7-Mine Infrastructure Area'!$A$8:$BN$8,1,MATCH(Summary!AF$1,'RA7-Mine Infrastructure Area'!$A$7:$BN$7,1)),0)+IFERROR(INDEX('RA8-Water Management Structures'!$A$8:$BN$8,1,MATCH(Summary!AF$1,'RA8-Water Management Structures'!$A$7:$BN$7,1)),0)+IFERROR(INDEX('RA9-Codisposal Upper'!$A$8:$BN$8,1,MATCH(Summary!AF$1,'RA9-Codisposal Upper'!$A$7:$BN$7,1)),0)+IFERROR(INDEX('RA10-Codisposal Slopes'!$A$8:$BN$8,1,MATCH(Summary!AF$1,'RA10-Codisposal Slopes'!$A$7:$BN$7,1)),0)+IFERROR(INDEX('IA1-Final Void inc Ramps'!$A$8:$BN$8,1,MATCH(Summary!AF$1,'IA1-Final Void inc Ramps'!$A$7:$BN$7,1)),0)</f>
        <v>2072.7109999999998</v>
      </c>
      <c r="AG12" s="47">
        <f>IFERROR(INDEX('RA1- Elevated Dumps Upper'!$A$8:$BN$8,1,MATCH(Summary!AG$1,'RA1- Elevated Dumps Upper'!$A$7:$BN$7,1)),0)+IFERROR(INDEX('RA2-Elevated Dumps Slopes'!$A$8:$BN$8,1,MATCH(Summary!AG$1,'RA2-Elevated Dumps Slopes'!$A$7:$BN$7,1)),0)+IFERROR(INDEX('RA3-Backfilled Pits'!$A$8:$BN$8,1,MATCH(Summary!AG$1,'RA3-Backfilled Pits'!$A$7:$BN$7,1)),0)+IFERROR(INDEX('RA4-Tracks_Roads'!$A$8:$BN$8,1,MATCH(Summary!AG$1,'RA4-Tracks_Roads'!$A$7:$BN$7,1)),0)+IFERROR(INDEX('RA5-ROM'!$A$8:$BN$8,1,MATCH(Summary!AG$1,'RA5-ROM'!$A$7:$BN$7,1)),0)+IFERROR(INDEX('RA6-CHPP'!$A$8:$BN$8,1,MATCH(Summary!AG$1,'RA6-CHPP'!$A$7:$BN$7,1)),0)+IFERROR(INDEX('RA7-Mine Infrastructure Area'!$A$8:$BN$8,1,MATCH(Summary!AG$1,'RA7-Mine Infrastructure Area'!$A$7:$BN$7,1)),0)+IFERROR(INDEX('RA8-Water Management Structures'!$A$8:$BN$8,1,MATCH(Summary!AG$1,'RA8-Water Management Structures'!$A$7:$BN$7,1)),0)+IFERROR(INDEX('RA9-Codisposal Upper'!$A$8:$BN$8,1,MATCH(Summary!AG$1,'RA9-Codisposal Upper'!$A$7:$BN$7,1)),0)+IFERROR(INDEX('RA10-Codisposal Slopes'!$A$8:$BN$8,1,MATCH(Summary!AG$1,'RA10-Codisposal Slopes'!$A$7:$BN$7,1)),0)+IFERROR(INDEX('IA1-Final Void inc Ramps'!$A$8:$BN$8,1,MATCH(Summary!AG$1,'IA1-Final Void inc Ramps'!$A$7:$BN$7,1)),0)</f>
        <v>2072.7109999999998</v>
      </c>
      <c r="AH12" s="47">
        <f>IFERROR(INDEX('RA1- Elevated Dumps Upper'!$A$8:$BN$8,1,MATCH(Summary!AH$1,'RA1- Elevated Dumps Upper'!$A$7:$BN$7,1)),0)+IFERROR(INDEX('RA2-Elevated Dumps Slopes'!$A$8:$BN$8,1,MATCH(Summary!AH$1,'RA2-Elevated Dumps Slopes'!$A$7:$BN$7,1)),0)+IFERROR(INDEX('RA3-Backfilled Pits'!$A$8:$BN$8,1,MATCH(Summary!AH$1,'RA3-Backfilled Pits'!$A$7:$BN$7,1)),0)+IFERROR(INDEX('RA4-Tracks_Roads'!$A$8:$BN$8,1,MATCH(Summary!AH$1,'RA4-Tracks_Roads'!$A$7:$BN$7,1)),0)+IFERROR(INDEX('RA5-ROM'!$A$8:$BN$8,1,MATCH(Summary!AH$1,'RA5-ROM'!$A$7:$BN$7,1)),0)+IFERROR(INDEX('RA6-CHPP'!$A$8:$BN$8,1,MATCH(Summary!AH$1,'RA6-CHPP'!$A$7:$BN$7,1)),0)+IFERROR(INDEX('RA7-Mine Infrastructure Area'!$A$8:$BN$8,1,MATCH(Summary!AH$1,'RA7-Mine Infrastructure Area'!$A$7:$BN$7,1)),0)+IFERROR(INDEX('RA8-Water Management Structures'!$A$8:$BN$8,1,MATCH(Summary!AH$1,'RA8-Water Management Structures'!$A$7:$BN$7,1)),0)+IFERROR(INDEX('RA9-Codisposal Upper'!$A$8:$BN$8,1,MATCH(Summary!AH$1,'RA9-Codisposal Upper'!$A$7:$BN$7,1)),0)+IFERROR(INDEX('RA10-Codisposal Slopes'!$A$8:$BN$8,1,MATCH(Summary!AH$1,'RA10-Codisposal Slopes'!$A$7:$BN$7,1)),0)+IFERROR(INDEX('IA1-Final Void inc Ramps'!$A$8:$BN$8,1,MATCH(Summary!AH$1,'IA1-Final Void inc Ramps'!$A$7:$BN$7,1)),0)</f>
        <v>2072.7109999999998</v>
      </c>
      <c r="AI12" s="47">
        <f>IFERROR(INDEX('RA1- Elevated Dumps Upper'!$A$8:$BN$8,1,MATCH(Summary!AI$1,'RA1- Elevated Dumps Upper'!$A$7:$BN$7,1)),0)+IFERROR(INDEX('RA2-Elevated Dumps Slopes'!$A$8:$BN$8,1,MATCH(Summary!AI$1,'RA2-Elevated Dumps Slopes'!$A$7:$BN$7,1)),0)+IFERROR(INDEX('RA3-Backfilled Pits'!$A$8:$BN$8,1,MATCH(Summary!AI$1,'RA3-Backfilled Pits'!$A$7:$BN$7,1)),0)+IFERROR(INDEX('RA4-Tracks_Roads'!$A$8:$BN$8,1,MATCH(Summary!AI$1,'RA4-Tracks_Roads'!$A$7:$BN$7,1)),0)+IFERROR(INDEX('RA5-ROM'!$A$8:$BN$8,1,MATCH(Summary!AI$1,'RA5-ROM'!$A$7:$BN$7,1)),0)+IFERROR(INDEX('RA6-CHPP'!$A$8:$BN$8,1,MATCH(Summary!AI$1,'RA6-CHPP'!$A$7:$BN$7,1)),0)+IFERROR(INDEX('RA7-Mine Infrastructure Area'!$A$8:$BN$8,1,MATCH(Summary!AI$1,'RA7-Mine Infrastructure Area'!$A$7:$BN$7,1)),0)+IFERROR(INDEX('RA8-Water Management Structures'!$A$8:$BN$8,1,MATCH(Summary!AI$1,'RA8-Water Management Structures'!$A$7:$BN$7,1)),0)+IFERROR(INDEX('RA9-Codisposal Upper'!$A$8:$BN$8,1,MATCH(Summary!AI$1,'RA9-Codisposal Upper'!$A$7:$BN$7,1)),0)+IFERROR(INDEX('RA10-Codisposal Slopes'!$A$8:$BN$8,1,MATCH(Summary!AI$1,'RA10-Codisposal Slopes'!$A$7:$BN$7,1)),0)+IFERROR(INDEX('IA1-Final Void inc Ramps'!$A$8:$BN$8,1,MATCH(Summary!AI$1,'IA1-Final Void inc Ramps'!$A$7:$BN$7,1)),0)</f>
        <v>2072.7109999999998</v>
      </c>
      <c r="AJ12" s="47">
        <f>IFERROR(INDEX('RA1- Elevated Dumps Upper'!$A$8:$BN$8,1,MATCH(Summary!AJ$1,'RA1- Elevated Dumps Upper'!$A$7:$BN$7,1)),0)+IFERROR(INDEX('RA2-Elevated Dumps Slopes'!$A$8:$BN$8,1,MATCH(Summary!AJ$1,'RA2-Elevated Dumps Slopes'!$A$7:$BN$7,1)),0)+IFERROR(INDEX('RA3-Backfilled Pits'!$A$8:$BN$8,1,MATCH(Summary!AJ$1,'RA3-Backfilled Pits'!$A$7:$BN$7,1)),0)+IFERROR(INDEX('RA4-Tracks_Roads'!$A$8:$BN$8,1,MATCH(Summary!AJ$1,'RA4-Tracks_Roads'!$A$7:$BN$7,1)),0)+IFERROR(INDEX('RA5-ROM'!$A$8:$BN$8,1,MATCH(Summary!AJ$1,'RA5-ROM'!$A$7:$BN$7,1)),0)+IFERROR(INDEX('RA6-CHPP'!$A$8:$BN$8,1,MATCH(Summary!AJ$1,'RA6-CHPP'!$A$7:$BN$7,1)),0)+IFERROR(INDEX('RA7-Mine Infrastructure Area'!$A$8:$BN$8,1,MATCH(Summary!AJ$1,'RA7-Mine Infrastructure Area'!$A$7:$BN$7,1)),0)+IFERROR(INDEX('RA8-Water Management Structures'!$A$8:$BN$8,1,MATCH(Summary!AJ$1,'RA8-Water Management Structures'!$A$7:$BN$7,1)),0)+IFERROR(INDEX('RA9-Codisposal Upper'!$A$8:$BN$8,1,MATCH(Summary!AJ$1,'RA9-Codisposal Upper'!$A$7:$BN$7,1)),0)+IFERROR(INDEX('RA10-Codisposal Slopes'!$A$8:$BN$8,1,MATCH(Summary!AJ$1,'RA10-Codisposal Slopes'!$A$7:$BN$7,1)),0)+IFERROR(INDEX('IA1-Final Void inc Ramps'!$A$8:$BN$8,1,MATCH(Summary!AJ$1,'IA1-Final Void inc Ramps'!$A$7:$BN$7,1)),0)</f>
        <v>2072.7109999999998</v>
      </c>
      <c r="AK12" s="47">
        <f>IFERROR(INDEX('RA1- Elevated Dumps Upper'!$A$8:$BN$8,1,MATCH(Summary!AK$1,'RA1- Elevated Dumps Upper'!$A$7:$BN$7,1)),0)+IFERROR(INDEX('RA2-Elevated Dumps Slopes'!$A$8:$BN$8,1,MATCH(Summary!AK$1,'RA2-Elevated Dumps Slopes'!$A$7:$BN$7,1)),0)+IFERROR(INDEX('RA3-Backfilled Pits'!$A$8:$BN$8,1,MATCH(Summary!AK$1,'RA3-Backfilled Pits'!$A$7:$BN$7,1)),0)+IFERROR(INDEX('RA4-Tracks_Roads'!$A$8:$BN$8,1,MATCH(Summary!AK$1,'RA4-Tracks_Roads'!$A$7:$BN$7,1)),0)+IFERROR(INDEX('RA5-ROM'!$A$8:$BN$8,1,MATCH(Summary!AK$1,'RA5-ROM'!$A$7:$BN$7,1)),0)+IFERROR(INDEX('RA6-CHPP'!$A$8:$BN$8,1,MATCH(Summary!AK$1,'RA6-CHPP'!$A$7:$BN$7,1)),0)+IFERROR(INDEX('RA7-Mine Infrastructure Area'!$A$8:$BN$8,1,MATCH(Summary!AK$1,'RA7-Mine Infrastructure Area'!$A$7:$BN$7,1)),0)+IFERROR(INDEX('RA8-Water Management Structures'!$A$8:$BN$8,1,MATCH(Summary!AK$1,'RA8-Water Management Structures'!$A$7:$BN$7,1)),0)+IFERROR(INDEX('RA9-Codisposal Upper'!$A$8:$BN$8,1,MATCH(Summary!AK$1,'RA9-Codisposal Upper'!$A$7:$BN$7,1)),0)+IFERROR(INDEX('RA10-Codisposal Slopes'!$A$8:$BN$8,1,MATCH(Summary!AK$1,'RA10-Codisposal Slopes'!$A$7:$BN$7,1)),0)+IFERROR(INDEX('IA1-Final Void inc Ramps'!$A$8:$BN$8,1,MATCH(Summary!AK$1,'IA1-Final Void inc Ramps'!$A$7:$BN$7,1)),0)</f>
        <v>2072.7109999999998</v>
      </c>
      <c r="AL12" s="47">
        <f>IFERROR(INDEX('RA1- Elevated Dumps Upper'!$A$8:$BN$8,1,MATCH(Summary!AL$1,'RA1- Elevated Dumps Upper'!$A$7:$BN$7,1)),0)+IFERROR(INDEX('RA2-Elevated Dumps Slopes'!$A$8:$BN$8,1,MATCH(Summary!AL$1,'RA2-Elevated Dumps Slopes'!$A$7:$BN$7,1)),0)+IFERROR(INDEX('RA3-Backfilled Pits'!$A$8:$BN$8,1,MATCH(Summary!AL$1,'RA3-Backfilled Pits'!$A$7:$BN$7,1)),0)+IFERROR(INDEX('RA4-Tracks_Roads'!$A$8:$BN$8,1,MATCH(Summary!AL$1,'RA4-Tracks_Roads'!$A$7:$BN$7,1)),0)+IFERROR(INDEX('RA5-ROM'!$A$8:$BN$8,1,MATCH(Summary!AL$1,'RA5-ROM'!$A$7:$BN$7,1)),0)+IFERROR(INDEX('RA6-CHPP'!$A$8:$BN$8,1,MATCH(Summary!AL$1,'RA6-CHPP'!$A$7:$BN$7,1)),0)+IFERROR(INDEX('RA7-Mine Infrastructure Area'!$A$8:$BN$8,1,MATCH(Summary!AL$1,'RA7-Mine Infrastructure Area'!$A$7:$BN$7,1)),0)+IFERROR(INDEX('RA8-Water Management Structures'!$A$8:$BN$8,1,MATCH(Summary!AL$1,'RA8-Water Management Structures'!$A$7:$BN$7,1)),0)+IFERROR(INDEX('RA9-Codisposal Upper'!$A$8:$BN$8,1,MATCH(Summary!AL$1,'RA9-Codisposal Upper'!$A$7:$BN$7,1)),0)+IFERROR(INDEX('RA10-Codisposal Slopes'!$A$8:$BN$8,1,MATCH(Summary!AL$1,'RA10-Codisposal Slopes'!$A$7:$BN$7,1)),0)+IFERROR(INDEX('IA1-Final Void inc Ramps'!$A$8:$BN$8,1,MATCH(Summary!AL$1,'IA1-Final Void inc Ramps'!$A$7:$BN$7,1)),0)</f>
        <v>2072.7109999999998</v>
      </c>
      <c r="AM12" s="47">
        <f>IFERROR(INDEX('RA1- Elevated Dumps Upper'!$A$8:$BN$8,1,MATCH(Summary!AM$1,'RA1- Elevated Dumps Upper'!$A$7:$BN$7,1)),0)+IFERROR(INDEX('RA2-Elevated Dumps Slopes'!$A$8:$BN$8,1,MATCH(Summary!AM$1,'RA2-Elevated Dumps Slopes'!$A$7:$BN$7,1)),0)+IFERROR(INDEX('RA3-Backfilled Pits'!$A$8:$BN$8,1,MATCH(Summary!AM$1,'RA3-Backfilled Pits'!$A$7:$BN$7,1)),0)+IFERROR(INDEX('RA4-Tracks_Roads'!$A$8:$BN$8,1,MATCH(Summary!AM$1,'RA4-Tracks_Roads'!$A$7:$BN$7,1)),0)+IFERROR(INDEX('RA5-ROM'!$A$8:$BN$8,1,MATCH(Summary!AM$1,'RA5-ROM'!$A$7:$BN$7,1)),0)+IFERROR(INDEX('RA6-CHPP'!$A$8:$BN$8,1,MATCH(Summary!AM$1,'RA6-CHPP'!$A$7:$BN$7,1)),0)+IFERROR(INDEX('RA7-Mine Infrastructure Area'!$A$8:$BN$8,1,MATCH(Summary!AM$1,'RA7-Mine Infrastructure Area'!$A$7:$BN$7,1)),0)+IFERROR(INDEX('RA8-Water Management Structures'!$A$8:$BN$8,1,MATCH(Summary!AM$1,'RA8-Water Management Structures'!$A$7:$BN$7,1)),0)+IFERROR(INDEX('RA9-Codisposal Upper'!$A$8:$BN$8,1,MATCH(Summary!AM$1,'RA9-Codisposal Upper'!$A$7:$BN$7,1)),0)+IFERROR(INDEX('RA10-Codisposal Slopes'!$A$8:$BN$8,1,MATCH(Summary!AM$1,'RA10-Codisposal Slopes'!$A$7:$BN$7,1)),0)+IFERROR(INDEX('IA1-Final Void inc Ramps'!$A$8:$BN$8,1,MATCH(Summary!AM$1,'IA1-Final Void inc Ramps'!$A$7:$BN$7,1)),0)</f>
        <v>2072.7109999999998</v>
      </c>
      <c r="AN12" s="47">
        <f>IFERROR(INDEX('RA1- Elevated Dumps Upper'!$A$8:$BN$8,1,MATCH(Summary!AN$1,'RA1- Elevated Dumps Upper'!$A$7:$BN$7,1)),0)+IFERROR(INDEX('RA2-Elevated Dumps Slopes'!$A$8:$BN$8,1,MATCH(Summary!AN$1,'RA2-Elevated Dumps Slopes'!$A$7:$BN$7,1)),0)+IFERROR(INDEX('RA3-Backfilled Pits'!$A$8:$BN$8,1,MATCH(Summary!AN$1,'RA3-Backfilled Pits'!$A$7:$BN$7,1)),0)+IFERROR(INDEX('RA4-Tracks_Roads'!$A$8:$BN$8,1,MATCH(Summary!AN$1,'RA4-Tracks_Roads'!$A$7:$BN$7,1)),0)+IFERROR(INDEX('RA5-ROM'!$A$8:$BN$8,1,MATCH(Summary!AN$1,'RA5-ROM'!$A$7:$BN$7,1)),0)+IFERROR(INDEX('RA6-CHPP'!$A$8:$BN$8,1,MATCH(Summary!AN$1,'RA6-CHPP'!$A$7:$BN$7,1)),0)+IFERROR(INDEX('RA7-Mine Infrastructure Area'!$A$8:$BN$8,1,MATCH(Summary!AN$1,'RA7-Mine Infrastructure Area'!$A$7:$BN$7,1)),0)+IFERROR(INDEX('RA8-Water Management Structures'!$A$8:$BN$8,1,MATCH(Summary!AN$1,'RA8-Water Management Structures'!$A$7:$BN$7,1)),0)+IFERROR(INDEX('RA9-Codisposal Upper'!$A$8:$BN$8,1,MATCH(Summary!AN$1,'RA9-Codisposal Upper'!$A$7:$BN$7,1)),0)+IFERROR(INDEX('RA10-Codisposal Slopes'!$A$8:$BN$8,1,MATCH(Summary!AN$1,'RA10-Codisposal Slopes'!$A$7:$BN$7,1)),0)+IFERROR(INDEX('IA1-Final Void inc Ramps'!$A$8:$BN$8,1,MATCH(Summary!AN$1,'IA1-Final Void inc Ramps'!$A$7:$BN$7,1)),0)</f>
        <v>2072.7109999999998</v>
      </c>
      <c r="AO12" s="47">
        <f>IFERROR(INDEX('RA1- Elevated Dumps Upper'!$A$8:$BN$8,1,MATCH(Summary!AO$1,'RA1- Elevated Dumps Upper'!$A$7:$BN$7,1)),0)+IFERROR(INDEX('RA2-Elevated Dumps Slopes'!$A$8:$BN$8,1,MATCH(Summary!AO$1,'RA2-Elevated Dumps Slopes'!$A$7:$BN$7,1)),0)+IFERROR(INDEX('RA3-Backfilled Pits'!$A$8:$BN$8,1,MATCH(Summary!AO$1,'RA3-Backfilled Pits'!$A$7:$BN$7,1)),0)+IFERROR(INDEX('RA4-Tracks_Roads'!$A$8:$BN$8,1,MATCH(Summary!AO$1,'RA4-Tracks_Roads'!$A$7:$BN$7,1)),0)+IFERROR(INDEX('RA5-ROM'!$A$8:$BN$8,1,MATCH(Summary!AO$1,'RA5-ROM'!$A$7:$BN$7,1)),0)+IFERROR(INDEX('RA6-CHPP'!$A$8:$BN$8,1,MATCH(Summary!AO$1,'RA6-CHPP'!$A$7:$BN$7,1)),0)+IFERROR(INDEX('RA7-Mine Infrastructure Area'!$A$8:$BN$8,1,MATCH(Summary!AO$1,'RA7-Mine Infrastructure Area'!$A$7:$BN$7,1)),0)+IFERROR(INDEX('RA8-Water Management Structures'!$A$8:$BN$8,1,MATCH(Summary!AO$1,'RA8-Water Management Structures'!$A$7:$BN$7,1)),0)+IFERROR(INDEX('RA9-Codisposal Upper'!$A$8:$BN$8,1,MATCH(Summary!AO$1,'RA9-Codisposal Upper'!$A$7:$BN$7,1)),0)+IFERROR(INDEX('RA10-Codisposal Slopes'!$A$8:$BN$8,1,MATCH(Summary!AO$1,'RA10-Codisposal Slopes'!$A$7:$BN$7,1)),0)+IFERROR(INDEX('IA1-Final Void inc Ramps'!$A$8:$BN$8,1,MATCH(Summary!AO$1,'IA1-Final Void inc Ramps'!$A$7:$BN$7,1)),0)</f>
        <v>2072.7109999999998</v>
      </c>
      <c r="AP12" s="47">
        <f>IFERROR(INDEX('RA1- Elevated Dumps Upper'!$A$8:$BN$8,1,MATCH(Summary!AP$1,'RA1- Elevated Dumps Upper'!$A$7:$BN$7,1)),0)+IFERROR(INDEX('RA2-Elevated Dumps Slopes'!$A$8:$BN$8,1,MATCH(Summary!AP$1,'RA2-Elevated Dumps Slopes'!$A$7:$BN$7,1)),0)+IFERROR(INDEX('RA3-Backfilled Pits'!$A$8:$BN$8,1,MATCH(Summary!AP$1,'RA3-Backfilled Pits'!$A$7:$BN$7,1)),0)+IFERROR(INDEX('RA4-Tracks_Roads'!$A$8:$BN$8,1,MATCH(Summary!AP$1,'RA4-Tracks_Roads'!$A$7:$BN$7,1)),0)+IFERROR(INDEX('RA5-ROM'!$A$8:$BN$8,1,MATCH(Summary!AP$1,'RA5-ROM'!$A$7:$BN$7,1)),0)+IFERROR(INDEX('RA6-CHPP'!$A$8:$BN$8,1,MATCH(Summary!AP$1,'RA6-CHPP'!$A$7:$BN$7,1)),0)+IFERROR(INDEX('RA7-Mine Infrastructure Area'!$A$8:$BN$8,1,MATCH(Summary!AP$1,'RA7-Mine Infrastructure Area'!$A$7:$BN$7,1)),0)+IFERROR(INDEX('RA8-Water Management Structures'!$A$8:$BN$8,1,MATCH(Summary!AP$1,'RA8-Water Management Structures'!$A$7:$BN$7,1)),0)+IFERROR(INDEX('RA9-Codisposal Upper'!$A$8:$BN$8,1,MATCH(Summary!AP$1,'RA9-Codisposal Upper'!$A$7:$BN$7,1)),0)+IFERROR(INDEX('RA10-Codisposal Slopes'!$A$8:$BN$8,1,MATCH(Summary!AP$1,'RA10-Codisposal Slopes'!$A$7:$BN$7,1)),0)+IFERROR(INDEX('IA1-Final Void inc Ramps'!$A$8:$BN$8,1,MATCH(Summary!AP$1,'IA1-Final Void inc Ramps'!$A$7:$BN$7,1)),0)</f>
        <v>2072.7109999999998</v>
      </c>
      <c r="AQ12" s="47">
        <f>IFERROR(INDEX('RA1- Elevated Dumps Upper'!$A$8:$BN$8,1,MATCH(Summary!AQ$1,'RA1- Elevated Dumps Upper'!$A$7:$BN$7,1)),0)+IFERROR(INDEX('RA2-Elevated Dumps Slopes'!$A$8:$BN$8,1,MATCH(Summary!AQ$1,'RA2-Elevated Dumps Slopes'!$A$7:$BN$7,1)),0)+IFERROR(INDEX('RA3-Backfilled Pits'!$A$8:$BN$8,1,MATCH(Summary!AQ$1,'RA3-Backfilled Pits'!$A$7:$BN$7,1)),0)+IFERROR(INDEX('RA4-Tracks_Roads'!$A$8:$BN$8,1,MATCH(Summary!AQ$1,'RA4-Tracks_Roads'!$A$7:$BN$7,1)),0)+IFERROR(INDEX('RA5-ROM'!$A$8:$BN$8,1,MATCH(Summary!AQ$1,'RA5-ROM'!$A$7:$BN$7,1)),0)+IFERROR(INDEX('RA6-CHPP'!$A$8:$BN$8,1,MATCH(Summary!AQ$1,'RA6-CHPP'!$A$7:$BN$7,1)),0)+IFERROR(INDEX('RA7-Mine Infrastructure Area'!$A$8:$BN$8,1,MATCH(Summary!AQ$1,'RA7-Mine Infrastructure Area'!$A$7:$BN$7,1)),0)+IFERROR(INDEX('RA8-Water Management Structures'!$A$8:$BN$8,1,MATCH(Summary!AQ$1,'RA8-Water Management Structures'!$A$7:$BN$7,1)),0)+IFERROR(INDEX('RA9-Codisposal Upper'!$A$8:$BN$8,1,MATCH(Summary!AQ$1,'RA9-Codisposal Upper'!$A$7:$BN$7,1)),0)+IFERROR(INDEX('RA10-Codisposal Slopes'!$A$8:$BN$8,1,MATCH(Summary!AQ$1,'RA10-Codisposal Slopes'!$A$7:$BN$7,1)),0)+IFERROR(INDEX('IA1-Final Void inc Ramps'!$A$8:$BN$8,1,MATCH(Summary!AQ$1,'IA1-Final Void inc Ramps'!$A$7:$BN$7,1)),0)</f>
        <v>2072.7109999999998</v>
      </c>
      <c r="AR12" s="47">
        <f>IFERROR(INDEX('RA1- Elevated Dumps Upper'!$A$8:$BN$8,1,MATCH(Summary!AR$1,'RA1- Elevated Dumps Upper'!$A$7:$BN$7,1)),0)+IFERROR(INDEX('RA2-Elevated Dumps Slopes'!$A$8:$BN$8,1,MATCH(Summary!AR$1,'RA2-Elevated Dumps Slopes'!$A$7:$BN$7,1)),0)+IFERROR(INDEX('RA3-Backfilled Pits'!$A$8:$BN$8,1,MATCH(Summary!AR$1,'RA3-Backfilled Pits'!$A$7:$BN$7,1)),0)+IFERROR(INDEX('RA4-Tracks_Roads'!$A$8:$BN$8,1,MATCH(Summary!AR$1,'RA4-Tracks_Roads'!$A$7:$BN$7,1)),0)+IFERROR(INDEX('RA5-ROM'!$A$8:$BN$8,1,MATCH(Summary!AR$1,'RA5-ROM'!$A$7:$BN$7,1)),0)+IFERROR(INDEX('RA6-CHPP'!$A$8:$BN$8,1,MATCH(Summary!AR$1,'RA6-CHPP'!$A$7:$BN$7,1)),0)+IFERROR(INDEX('RA7-Mine Infrastructure Area'!$A$8:$BN$8,1,MATCH(Summary!AR$1,'RA7-Mine Infrastructure Area'!$A$7:$BN$7,1)),0)+IFERROR(INDEX('RA8-Water Management Structures'!$A$8:$BN$8,1,MATCH(Summary!AR$1,'RA8-Water Management Structures'!$A$7:$BN$7,1)),0)+IFERROR(INDEX('RA9-Codisposal Upper'!$A$8:$BN$8,1,MATCH(Summary!AR$1,'RA9-Codisposal Upper'!$A$7:$BN$7,1)),0)+IFERROR(INDEX('RA10-Codisposal Slopes'!$A$8:$BN$8,1,MATCH(Summary!AR$1,'RA10-Codisposal Slopes'!$A$7:$BN$7,1)),0)+IFERROR(INDEX('IA1-Final Void inc Ramps'!$A$8:$BN$8,1,MATCH(Summary!AR$1,'IA1-Final Void inc Ramps'!$A$7:$BN$7,1)),0)</f>
        <v>2072.7109999999998</v>
      </c>
      <c r="AS12" s="47">
        <f>IFERROR(INDEX('RA1- Elevated Dumps Upper'!$A$8:$BN$8,1,MATCH(Summary!AS$1,'RA1- Elevated Dumps Upper'!$A$7:$BN$7,1)),0)+IFERROR(INDEX('RA2-Elevated Dumps Slopes'!$A$8:$BN$8,1,MATCH(Summary!AS$1,'RA2-Elevated Dumps Slopes'!$A$7:$BN$7,1)),0)+IFERROR(INDEX('RA3-Backfilled Pits'!$A$8:$BN$8,1,MATCH(Summary!AS$1,'RA3-Backfilled Pits'!$A$7:$BN$7,1)),0)+IFERROR(INDEX('RA4-Tracks_Roads'!$A$8:$BN$8,1,MATCH(Summary!AS$1,'RA4-Tracks_Roads'!$A$7:$BN$7,1)),0)+IFERROR(INDEX('RA5-ROM'!$A$8:$BN$8,1,MATCH(Summary!AS$1,'RA5-ROM'!$A$7:$BN$7,1)),0)+IFERROR(INDEX('RA6-CHPP'!$A$8:$BN$8,1,MATCH(Summary!AS$1,'RA6-CHPP'!$A$7:$BN$7,1)),0)+IFERROR(INDEX('RA7-Mine Infrastructure Area'!$A$8:$BN$8,1,MATCH(Summary!AS$1,'RA7-Mine Infrastructure Area'!$A$7:$BN$7,1)),0)+IFERROR(INDEX('RA8-Water Management Structures'!$A$8:$BN$8,1,MATCH(Summary!AS$1,'RA8-Water Management Structures'!$A$7:$BN$7,1)),0)+IFERROR(INDEX('RA9-Codisposal Upper'!$A$8:$BN$8,1,MATCH(Summary!AS$1,'RA9-Codisposal Upper'!$A$7:$BN$7,1)),0)+IFERROR(INDEX('RA10-Codisposal Slopes'!$A$8:$BN$8,1,MATCH(Summary!AS$1,'RA10-Codisposal Slopes'!$A$7:$BN$7,1)),0)+IFERROR(INDEX('IA1-Final Void inc Ramps'!$A$8:$BN$8,1,MATCH(Summary!AS$1,'IA1-Final Void inc Ramps'!$A$7:$BN$7,1)),0)</f>
        <v>2072.7109999999998</v>
      </c>
      <c r="AT12" s="47">
        <f>IFERROR(INDEX('RA1- Elevated Dumps Upper'!$A$8:$BN$8,1,MATCH(Summary!AT$1,'RA1- Elevated Dumps Upper'!$A$7:$BN$7,1)),0)+IFERROR(INDEX('RA2-Elevated Dumps Slopes'!$A$8:$BN$8,1,MATCH(Summary!AT$1,'RA2-Elevated Dumps Slopes'!$A$7:$BN$7,1)),0)+IFERROR(INDEX('RA3-Backfilled Pits'!$A$8:$BN$8,1,MATCH(Summary!AT$1,'RA3-Backfilled Pits'!$A$7:$BN$7,1)),0)+IFERROR(INDEX('RA4-Tracks_Roads'!$A$8:$BN$8,1,MATCH(Summary!AT$1,'RA4-Tracks_Roads'!$A$7:$BN$7,1)),0)+IFERROR(INDEX('RA5-ROM'!$A$8:$BN$8,1,MATCH(Summary!AT$1,'RA5-ROM'!$A$7:$BN$7,1)),0)+IFERROR(INDEX('RA6-CHPP'!$A$8:$BN$8,1,MATCH(Summary!AT$1,'RA6-CHPP'!$A$7:$BN$7,1)),0)+IFERROR(INDEX('RA7-Mine Infrastructure Area'!$A$8:$BN$8,1,MATCH(Summary!AT$1,'RA7-Mine Infrastructure Area'!$A$7:$BN$7,1)),0)+IFERROR(INDEX('RA8-Water Management Structures'!$A$8:$BN$8,1,MATCH(Summary!AT$1,'RA8-Water Management Structures'!$A$7:$BN$7,1)),0)+IFERROR(INDEX('RA9-Codisposal Upper'!$A$8:$BN$8,1,MATCH(Summary!AT$1,'RA9-Codisposal Upper'!$A$7:$BN$7,1)),0)+IFERROR(INDEX('RA10-Codisposal Slopes'!$A$8:$BN$8,1,MATCH(Summary!AT$1,'RA10-Codisposal Slopes'!$A$7:$BN$7,1)),0)+IFERROR(INDEX('IA1-Final Void inc Ramps'!$A$8:$BN$8,1,MATCH(Summary!AT$1,'IA1-Final Void inc Ramps'!$A$7:$BN$7,1)),0)</f>
        <v>2072.7109999999998</v>
      </c>
      <c r="AU12" s="47">
        <f>IFERROR(INDEX('RA1- Elevated Dumps Upper'!$A$8:$BN$8,1,MATCH(Summary!AU$1,'RA1- Elevated Dumps Upper'!$A$7:$BN$7,1)),0)+IFERROR(INDEX('RA2-Elevated Dumps Slopes'!$A$8:$BN$8,1,MATCH(Summary!AU$1,'RA2-Elevated Dumps Slopes'!$A$7:$BN$7,1)),0)+IFERROR(INDEX('RA3-Backfilled Pits'!$A$8:$BN$8,1,MATCH(Summary!AU$1,'RA3-Backfilled Pits'!$A$7:$BN$7,1)),0)+IFERROR(INDEX('RA4-Tracks_Roads'!$A$8:$BN$8,1,MATCH(Summary!AU$1,'RA4-Tracks_Roads'!$A$7:$BN$7,1)),0)+IFERROR(INDEX('RA5-ROM'!$A$8:$BN$8,1,MATCH(Summary!AU$1,'RA5-ROM'!$A$7:$BN$7,1)),0)+IFERROR(INDEX('RA6-CHPP'!$A$8:$BN$8,1,MATCH(Summary!AU$1,'RA6-CHPP'!$A$7:$BN$7,1)),0)+IFERROR(INDEX('RA7-Mine Infrastructure Area'!$A$8:$BN$8,1,MATCH(Summary!AU$1,'RA7-Mine Infrastructure Area'!$A$7:$BN$7,1)),0)+IFERROR(INDEX('RA8-Water Management Structures'!$A$8:$BN$8,1,MATCH(Summary!AU$1,'RA8-Water Management Structures'!$A$7:$BN$7,1)),0)+IFERROR(INDEX('RA9-Codisposal Upper'!$A$8:$BN$8,1,MATCH(Summary!AU$1,'RA9-Codisposal Upper'!$A$7:$BN$7,1)),0)+IFERROR(INDEX('RA10-Codisposal Slopes'!$A$8:$BN$8,1,MATCH(Summary!AU$1,'RA10-Codisposal Slopes'!$A$7:$BN$7,1)),0)+IFERROR(INDEX('IA1-Final Void inc Ramps'!$A$8:$BN$8,1,MATCH(Summary!AU$1,'IA1-Final Void inc Ramps'!$A$7:$BN$7,1)),0)</f>
        <v>2072.7109999999998</v>
      </c>
      <c r="AV12" s="47">
        <f>IFERROR(INDEX('RA1- Elevated Dumps Upper'!$A$8:$BN$8,1,MATCH(Summary!AV$1,'RA1- Elevated Dumps Upper'!$A$7:$BN$7,1)),0)+IFERROR(INDEX('RA2-Elevated Dumps Slopes'!$A$8:$BN$8,1,MATCH(Summary!AV$1,'RA2-Elevated Dumps Slopes'!$A$7:$BN$7,1)),0)+IFERROR(INDEX('RA3-Backfilled Pits'!$A$8:$BN$8,1,MATCH(Summary!AV$1,'RA3-Backfilled Pits'!$A$7:$BN$7,1)),0)+IFERROR(INDEX('RA4-Tracks_Roads'!$A$8:$BN$8,1,MATCH(Summary!AV$1,'RA4-Tracks_Roads'!$A$7:$BN$7,1)),0)+IFERROR(INDEX('RA5-ROM'!$A$8:$BN$8,1,MATCH(Summary!AV$1,'RA5-ROM'!$A$7:$BN$7,1)),0)+IFERROR(INDEX('RA6-CHPP'!$A$8:$BN$8,1,MATCH(Summary!AV$1,'RA6-CHPP'!$A$7:$BN$7,1)),0)+IFERROR(INDEX('RA7-Mine Infrastructure Area'!$A$8:$BN$8,1,MATCH(Summary!AV$1,'RA7-Mine Infrastructure Area'!$A$7:$BN$7,1)),0)+IFERROR(INDEX('RA8-Water Management Structures'!$A$8:$BN$8,1,MATCH(Summary!AV$1,'RA8-Water Management Structures'!$A$7:$BN$7,1)),0)+IFERROR(INDEX('RA9-Codisposal Upper'!$A$8:$BN$8,1,MATCH(Summary!AV$1,'RA9-Codisposal Upper'!$A$7:$BN$7,1)),0)+IFERROR(INDEX('RA10-Codisposal Slopes'!$A$8:$BN$8,1,MATCH(Summary!AV$1,'RA10-Codisposal Slopes'!$A$7:$BN$7,1)),0)+IFERROR(INDEX('IA1-Final Void inc Ramps'!$A$8:$BN$8,1,MATCH(Summary!AV$1,'IA1-Final Void inc Ramps'!$A$7:$BN$7,1)),0)</f>
        <v>2072.7109999999998</v>
      </c>
      <c r="AW12" s="47">
        <f>IFERROR(INDEX('RA1- Elevated Dumps Upper'!$A$8:$BN$8,1,MATCH(Summary!AW$1,'RA1- Elevated Dumps Upper'!$A$7:$BN$7,1)),0)+IFERROR(INDEX('RA2-Elevated Dumps Slopes'!$A$8:$BN$8,1,MATCH(Summary!AW$1,'RA2-Elevated Dumps Slopes'!$A$7:$BN$7,1)),0)+IFERROR(INDEX('RA3-Backfilled Pits'!$A$8:$BN$8,1,MATCH(Summary!AW$1,'RA3-Backfilled Pits'!$A$7:$BN$7,1)),0)+IFERROR(INDEX('RA4-Tracks_Roads'!$A$8:$BN$8,1,MATCH(Summary!AW$1,'RA4-Tracks_Roads'!$A$7:$BN$7,1)),0)+IFERROR(INDEX('RA5-ROM'!$A$8:$BN$8,1,MATCH(Summary!AW$1,'RA5-ROM'!$A$7:$BN$7,1)),0)+IFERROR(INDEX('RA6-CHPP'!$A$8:$BN$8,1,MATCH(Summary!AW$1,'RA6-CHPP'!$A$7:$BN$7,1)),0)+IFERROR(INDEX('RA7-Mine Infrastructure Area'!$A$8:$BN$8,1,MATCH(Summary!AW$1,'RA7-Mine Infrastructure Area'!$A$7:$BN$7,1)),0)+IFERROR(INDEX('RA8-Water Management Structures'!$A$8:$BN$8,1,MATCH(Summary!AW$1,'RA8-Water Management Structures'!$A$7:$BN$7,1)),0)+IFERROR(INDEX('RA9-Codisposal Upper'!$A$8:$BN$8,1,MATCH(Summary!AW$1,'RA9-Codisposal Upper'!$A$7:$BN$7,1)),0)+IFERROR(INDEX('RA10-Codisposal Slopes'!$A$8:$BN$8,1,MATCH(Summary!AW$1,'RA10-Codisposal Slopes'!$A$7:$BN$7,1)),0)+IFERROR(INDEX('IA1-Final Void inc Ramps'!$A$8:$BN$8,1,MATCH(Summary!AW$1,'IA1-Final Void inc Ramps'!$A$7:$BN$7,1)),0)</f>
        <v>2072.7109999999998</v>
      </c>
      <c r="AX12" s="47">
        <f>IFERROR(INDEX('RA1- Elevated Dumps Upper'!$A$8:$BN$8,1,MATCH(Summary!AX$1,'RA1- Elevated Dumps Upper'!$A$7:$BN$7,1)),0)+IFERROR(INDEX('RA2-Elevated Dumps Slopes'!$A$8:$BN$8,1,MATCH(Summary!AX$1,'RA2-Elevated Dumps Slopes'!$A$7:$BN$7,1)),0)+IFERROR(INDEX('RA3-Backfilled Pits'!$A$8:$BN$8,1,MATCH(Summary!AX$1,'RA3-Backfilled Pits'!$A$7:$BN$7,1)),0)+IFERROR(INDEX('RA4-Tracks_Roads'!$A$8:$BN$8,1,MATCH(Summary!AX$1,'RA4-Tracks_Roads'!$A$7:$BN$7,1)),0)+IFERROR(INDEX('RA5-ROM'!$A$8:$BN$8,1,MATCH(Summary!AX$1,'RA5-ROM'!$A$7:$BN$7,1)),0)+IFERROR(INDEX('RA6-CHPP'!$A$8:$BN$8,1,MATCH(Summary!AX$1,'RA6-CHPP'!$A$7:$BN$7,1)),0)+IFERROR(INDEX('RA7-Mine Infrastructure Area'!$A$8:$BN$8,1,MATCH(Summary!AX$1,'RA7-Mine Infrastructure Area'!$A$7:$BN$7,1)),0)+IFERROR(INDEX('RA8-Water Management Structures'!$A$8:$BN$8,1,MATCH(Summary!AX$1,'RA8-Water Management Structures'!$A$7:$BN$7,1)),0)+IFERROR(INDEX('RA9-Codisposal Upper'!$A$8:$BN$8,1,MATCH(Summary!AX$1,'RA9-Codisposal Upper'!$A$7:$BN$7,1)),0)+IFERROR(INDEX('RA10-Codisposal Slopes'!$A$8:$BN$8,1,MATCH(Summary!AX$1,'RA10-Codisposal Slopes'!$A$7:$BN$7,1)),0)+IFERROR(INDEX('IA1-Final Void inc Ramps'!$A$8:$BN$8,1,MATCH(Summary!AX$1,'IA1-Final Void inc Ramps'!$A$7:$BN$7,1)),0)</f>
        <v>2072.7109999999998</v>
      </c>
      <c r="AY12" s="47">
        <f>IFERROR(INDEX('RA1- Elevated Dumps Upper'!$A$8:$BN$8,1,MATCH(Summary!AY$1,'RA1- Elevated Dumps Upper'!$A$7:$BN$7,1)),0)+IFERROR(INDEX('RA2-Elevated Dumps Slopes'!$A$8:$BN$8,1,MATCH(Summary!AY$1,'RA2-Elevated Dumps Slopes'!$A$7:$BN$7,1)),0)+IFERROR(INDEX('RA3-Backfilled Pits'!$A$8:$BN$8,1,MATCH(Summary!AY$1,'RA3-Backfilled Pits'!$A$7:$BN$7,1)),0)+IFERROR(INDEX('RA4-Tracks_Roads'!$A$8:$BN$8,1,MATCH(Summary!AY$1,'RA4-Tracks_Roads'!$A$7:$BN$7,1)),0)+IFERROR(INDEX('RA5-ROM'!$A$8:$BN$8,1,MATCH(Summary!AY$1,'RA5-ROM'!$A$7:$BN$7,1)),0)+IFERROR(INDEX('RA6-CHPP'!$A$8:$BN$8,1,MATCH(Summary!AY$1,'RA6-CHPP'!$A$7:$BN$7,1)),0)+IFERROR(INDEX('RA7-Mine Infrastructure Area'!$A$8:$BN$8,1,MATCH(Summary!AY$1,'RA7-Mine Infrastructure Area'!$A$7:$BN$7,1)),0)+IFERROR(INDEX('RA8-Water Management Structures'!$A$8:$BN$8,1,MATCH(Summary!AY$1,'RA8-Water Management Structures'!$A$7:$BN$7,1)),0)+IFERROR(INDEX('RA9-Codisposal Upper'!$A$8:$BN$8,1,MATCH(Summary!AY$1,'RA9-Codisposal Upper'!$A$7:$BN$7,1)),0)+IFERROR(INDEX('RA10-Codisposal Slopes'!$A$8:$BN$8,1,MATCH(Summary!AY$1,'RA10-Codisposal Slopes'!$A$7:$BN$7,1)),0)+IFERROR(INDEX('IA1-Final Void inc Ramps'!$A$8:$BN$8,1,MATCH(Summary!AY$1,'IA1-Final Void inc Ramps'!$A$7:$BN$7,1)),0)</f>
        <v>2072.7109999999998</v>
      </c>
      <c r="AZ12" s="47">
        <f>IFERROR(INDEX('RA1- Elevated Dumps Upper'!$A$8:$BN$8,1,MATCH(Summary!AZ$1,'RA1- Elevated Dumps Upper'!$A$7:$BN$7,1)),0)+IFERROR(INDEX('RA2-Elevated Dumps Slopes'!$A$8:$BN$8,1,MATCH(Summary!AZ$1,'RA2-Elevated Dumps Slopes'!$A$7:$BN$7,1)),0)+IFERROR(INDEX('RA3-Backfilled Pits'!$A$8:$BN$8,1,MATCH(Summary!AZ$1,'RA3-Backfilled Pits'!$A$7:$BN$7,1)),0)+IFERROR(INDEX('RA4-Tracks_Roads'!$A$8:$BN$8,1,MATCH(Summary!AZ$1,'RA4-Tracks_Roads'!$A$7:$BN$7,1)),0)+IFERROR(INDEX('RA5-ROM'!$A$8:$BN$8,1,MATCH(Summary!AZ$1,'RA5-ROM'!$A$7:$BN$7,1)),0)+IFERROR(INDEX('RA6-CHPP'!$A$8:$BN$8,1,MATCH(Summary!AZ$1,'RA6-CHPP'!$A$7:$BN$7,1)),0)+IFERROR(INDEX('RA7-Mine Infrastructure Area'!$A$8:$BN$8,1,MATCH(Summary!AZ$1,'RA7-Mine Infrastructure Area'!$A$7:$BN$7,1)),0)+IFERROR(INDEX('RA8-Water Management Structures'!$A$8:$BN$8,1,MATCH(Summary!AZ$1,'RA8-Water Management Structures'!$A$7:$BN$7,1)),0)+IFERROR(INDEX('RA9-Codisposal Upper'!$A$8:$BN$8,1,MATCH(Summary!AZ$1,'RA9-Codisposal Upper'!$A$7:$BN$7,1)),0)+IFERROR(INDEX('RA10-Codisposal Slopes'!$A$8:$BN$8,1,MATCH(Summary!AZ$1,'RA10-Codisposal Slopes'!$A$7:$BN$7,1)),0)+IFERROR(INDEX('IA1-Final Void inc Ramps'!$A$8:$BN$8,1,MATCH(Summary!AZ$1,'IA1-Final Void inc Ramps'!$A$7:$BN$7,1)),0)</f>
        <v>2072.7109999999998</v>
      </c>
      <c r="BA12" s="47">
        <f>IFERROR(INDEX('RA1- Elevated Dumps Upper'!$A$8:$BN$8,1,MATCH(Summary!BA$1,'RA1- Elevated Dumps Upper'!$A$7:$BN$7,1)),0)+IFERROR(INDEX('RA2-Elevated Dumps Slopes'!$A$8:$BN$8,1,MATCH(Summary!BA$1,'RA2-Elevated Dumps Slopes'!$A$7:$BN$7,1)),0)+IFERROR(INDEX('RA3-Backfilled Pits'!$A$8:$BN$8,1,MATCH(Summary!BA$1,'RA3-Backfilled Pits'!$A$7:$BN$7,1)),0)+IFERROR(INDEX('RA4-Tracks_Roads'!$A$8:$BN$8,1,MATCH(Summary!BA$1,'RA4-Tracks_Roads'!$A$7:$BN$7,1)),0)+IFERROR(INDEX('RA5-ROM'!$A$8:$BN$8,1,MATCH(Summary!BA$1,'RA5-ROM'!$A$7:$BN$7,1)),0)+IFERROR(INDEX('RA6-CHPP'!$A$8:$BN$8,1,MATCH(Summary!BA$1,'RA6-CHPP'!$A$7:$BN$7,1)),0)+IFERROR(INDEX('RA7-Mine Infrastructure Area'!$A$8:$BN$8,1,MATCH(Summary!BA$1,'RA7-Mine Infrastructure Area'!$A$7:$BN$7,1)),0)+IFERROR(INDEX('RA8-Water Management Structures'!$A$8:$BN$8,1,MATCH(Summary!BA$1,'RA8-Water Management Structures'!$A$7:$BN$7,1)),0)+IFERROR(INDEX('RA9-Codisposal Upper'!$A$8:$BN$8,1,MATCH(Summary!BA$1,'RA9-Codisposal Upper'!$A$7:$BN$7,1)),0)+IFERROR(INDEX('RA10-Codisposal Slopes'!$A$8:$BN$8,1,MATCH(Summary!BA$1,'RA10-Codisposal Slopes'!$A$7:$BN$7,1)),0)+IFERROR(INDEX('IA1-Final Void inc Ramps'!$A$8:$BN$8,1,MATCH(Summary!BA$1,'IA1-Final Void inc Ramps'!$A$7:$BN$7,1)),0)</f>
        <v>2072.7109999999998</v>
      </c>
      <c r="BB12" s="47">
        <f>IFERROR(INDEX('RA1- Elevated Dumps Upper'!$A$8:$BN$8,1,MATCH(Summary!BB$1,'RA1- Elevated Dumps Upper'!$A$7:$BN$7,1)),0)+IFERROR(INDEX('RA2-Elevated Dumps Slopes'!$A$8:$BN$8,1,MATCH(Summary!BB$1,'RA2-Elevated Dumps Slopes'!$A$7:$BN$7,1)),0)+IFERROR(INDEX('RA3-Backfilled Pits'!$A$8:$BN$8,1,MATCH(Summary!BB$1,'RA3-Backfilled Pits'!$A$7:$BN$7,1)),0)+IFERROR(INDEX('RA4-Tracks_Roads'!$A$8:$BN$8,1,MATCH(Summary!BB$1,'RA4-Tracks_Roads'!$A$7:$BN$7,1)),0)+IFERROR(INDEX('RA5-ROM'!$A$8:$BN$8,1,MATCH(Summary!BB$1,'RA5-ROM'!$A$7:$BN$7,1)),0)+IFERROR(INDEX('RA6-CHPP'!$A$8:$BN$8,1,MATCH(Summary!BB$1,'RA6-CHPP'!$A$7:$BN$7,1)),0)+IFERROR(INDEX('RA7-Mine Infrastructure Area'!$A$8:$BN$8,1,MATCH(Summary!BB$1,'RA7-Mine Infrastructure Area'!$A$7:$BN$7,1)),0)+IFERROR(INDEX('RA8-Water Management Structures'!$A$8:$BN$8,1,MATCH(Summary!BB$1,'RA8-Water Management Structures'!$A$7:$BN$7,1)),0)+IFERROR(INDEX('RA9-Codisposal Upper'!$A$8:$BN$8,1,MATCH(Summary!BB$1,'RA9-Codisposal Upper'!$A$7:$BN$7,1)),0)+IFERROR(INDEX('RA10-Codisposal Slopes'!$A$8:$BN$8,1,MATCH(Summary!BB$1,'RA10-Codisposal Slopes'!$A$7:$BN$7,1)),0)+IFERROR(INDEX('IA1-Final Void inc Ramps'!$A$8:$BN$8,1,MATCH(Summary!BB$1,'IA1-Final Void inc Ramps'!$A$7:$BN$7,1)),0)</f>
        <v>2072.7109999999998</v>
      </c>
      <c r="BC12" s="47">
        <f>IFERROR(INDEX('RA1- Elevated Dumps Upper'!$A$8:$BN$8,1,MATCH(Summary!BC$1,'RA1- Elevated Dumps Upper'!$A$7:$BN$7,1)),0)+IFERROR(INDEX('RA2-Elevated Dumps Slopes'!$A$8:$BN$8,1,MATCH(Summary!BC$1,'RA2-Elevated Dumps Slopes'!$A$7:$BN$7,1)),0)+IFERROR(INDEX('RA3-Backfilled Pits'!$A$8:$BN$8,1,MATCH(Summary!BC$1,'RA3-Backfilled Pits'!$A$7:$BN$7,1)),0)+IFERROR(INDEX('RA4-Tracks_Roads'!$A$8:$BN$8,1,MATCH(Summary!BC$1,'RA4-Tracks_Roads'!$A$7:$BN$7,1)),0)+IFERROR(INDEX('RA5-ROM'!$A$8:$BN$8,1,MATCH(Summary!BC$1,'RA5-ROM'!$A$7:$BN$7,1)),0)+IFERROR(INDEX('RA6-CHPP'!$A$8:$BN$8,1,MATCH(Summary!BC$1,'RA6-CHPP'!$A$7:$BN$7,1)),0)+IFERROR(INDEX('RA7-Mine Infrastructure Area'!$A$8:$BN$8,1,MATCH(Summary!BC$1,'RA7-Mine Infrastructure Area'!$A$7:$BN$7,1)),0)+IFERROR(INDEX('RA8-Water Management Structures'!$A$8:$BN$8,1,MATCH(Summary!BC$1,'RA8-Water Management Structures'!$A$7:$BN$7,1)),0)+IFERROR(INDEX('RA9-Codisposal Upper'!$A$8:$BN$8,1,MATCH(Summary!BC$1,'RA9-Codisposal Upper'!$A$7:$BN$7,1)),0)+IFERROR(INDEX('RA10-Codisposal Slopes'!$A$8:$BN$8,1,MATCH(Summary!BC$1,'RA10-Codisposal Slopes'!$A$7:$BN$7,1)),0)+IFERROR(INDEX('IA1-Final Void inc Ramps'!$A$8:$BN$8,1,MATCH(Summary!BC$1,'IA1-Final Void inc Ramps'!$A$7:$BN$7,1)),0)</f>
        <v>2072.7109999999998</v>
      </c>
      <c r="BD12" s="47">
        <f>IFERROR(INDEX('RA1- Elevated Dumps Upper'!$A$8:$BN$8,1,MATCH(Summary!BD$1,'RA1- Elevated Dumps Upper'!$A$7:$BN$7,1)),0)+IFERROR(INDEX('RA2-Elevated Dumps Slopes'!$A$8:$BN$8,1,MATCH(Summary!BD$1,'RA2-Elevated Dumps Slopes'!$A$7:$BN$7,1)),0)+IFERROR(INDEX('RA3-Backfilled Pits'!$A$8:$BN$8,1,MATCH(Summary!BD$1,'RA3-Backfilled Pits'!$A$7:$BN$7,1)),0)+IFERROR(INDEX('RA4-Tracks_Roads'!$A$8:$BN$8,1,MATCH(Summary!BD$1,'RA4-Tracks_Roads'!$A$7:$BN$7,1)),0)+IFERROR(INDEX('RA5-ROM'!$A$8:$BN$8,1,MATCH(Summary!BD$1,'RA5-ROM'!$A$7:$BN$7,1)),0)+IFERROR(INDEX('RA6-CHPP'!$A$8:$BN$8,1,MATCH(Summary!BD$1,'RA6-CHPP'!$A$7:$BN$7,1)),0)+IFERROR(INDEX('RA7-Mine Infrastructure Area'!$A$8:$BN$8,1,MATCH(Summary!BD$1,'RA7-Mine Infrastructure Area'!$A$7:$BN$7,1)),0)+IFERROR(INDEX('RA8-Water Management Structures'!$A$8:$BN$8,1,MATCH(Summary!BD$1,'RA8-Water Management Structures'!$A$7:$BN$7,1)),0)+IFERROR(INDEX('RA9-Codisposal Upper'!$A$8:$BN$8,1,MATCH(Summary!BD$1,'RA9-Codisposal Upper'!$A$7:$BN$7,1)),0)+IFERROR(INDEX('RA10-Codisposal Slopes'!$A$8:$BN$8,1,MATCH(Summary!BD$1,'RA10-Codisposal Slopes'!$A$7:$BN$7,1)),0)+IFERROR(INDEX('IA1-Final Void inc Ramps'!$A$8:$BN$8,1,MATCH(Summary!BD$1,'IA1-Final Void inc Ramps'!$A$7:$BN$7,1)),0)</f>
        <v>2072.7109999999998</v>
      </c>
      <c r="BE12" s="47">
        <f>IFERROR(INDEX('RA1- Elevated Dumps Upper'!$A$8:$BN$8,1,MATCH(Summary!BE$1,'RA1- Elevated Dumps Upper'!$A$7:$BN$7,1)),0)+IFERROR(INDEX('RA2-Elevated Dumps Slopes'!$A$8:$BN$8,1,MATCH(Summary!BE$1,'RA2-Elevated Dumps Slopes'!$A$7:$BN$7,1)),0)+IFERROR(INDEX('RA3-Backfilled Pits'!$A$8:$BN$8,1,MATCH(Summary!BE$1,'RA3-Backfilled Pits'!$A$7:$BN$7,1)),0)+IFERROR(INDEX('RA4-Tracks_Roads'!$A$8:$BN$8,1,MATCH(Summary!BE$1,'RA4-Tracks_Roads'!$A$7:$BN$7,1)),0)+IFERROR(INDEX('RA5-ROM'!$A$8:$BN$8,1,MATCH(Summary!BE$1,'RA5-ROM'!$A$7:$BN$7,1)),0)+IFERROR(INDEX('RA6-CHPP'!$A$8:$BN$8,1,MATCH(Summary!BE$1,'RA6-CHPP'!$A$7:$BN$7,1)),0)+IFERROR(INDEX('RA7-Mine Infrastructure Area'!$A$8:$BN$8,1,MATCH(Summary!BE$1,'RA7-Mine Infrastructure Area'!$A$7:$BN$7,1)),0)+IFERROR(INDEX('RA8-Water Management Structures'!$A$8:$BN$8,1,MATCH(Summary!BE$1,'RA8-Water Management Structures'!$A$7:$BN$7,1)),0)+IFERROR(INDEX('RA9-Codisposal Upper'!$A$8:$BN$8,1,MATCH(Summary!BE$1,'RA9-Codisposal Upper'!$A$7:$BN$7,1)),0)+IFERROR(INDEX('RA10-Codisposal Slopes'!$A$8:$BN$8,1,MATCH(Summary!BE$1,'RA10-Codisposal Slopes'!$A$7:$BN$7,1)),0)+IFERROR(INDEX('IA1-Final Void inc Ramps'!$A$8:$BN$8,1,MATCH(Summary!BE$1,'IA1-Final Void inc Ramps'!$A$7:$BN$7,1)),0)</f>
        <v>2072.7109999999998</v>
      </c>
      <c r="BF12" s="47">
        <f>IFERROR(INDEX('RA1- Elevated Dumps Upper'!$A$8:$BN$8,1,MATCH(Summary!BF$1,'RA1- Elevated Dumps Upper'!$A$7:$BN$7,1)),0)+IFERROR(INDEX('RA2-Elevated Dumps Slopes'!$A$8:$BN$8,1,MATCH(Summary!BF$1,'RA2-Elevated Dumps Slopes'!$A$7:$BN$7,1)),0)+IFERROR(INDEX('RA3-Backfilled Pits'!$A$8:$BN$8,1,MATCH(Summary!BF$1,'RA3-Backfilled Pits'!$A$7:$BN$7,1)),0)+IFERROR(INDEX('RA4-Tracks_Roads'!$A$8:$BN$8,1,MATCH(Summary!BF$1,'RA4-Tracks_Roads'!$A$7:$BN$7,1)),0)+IFERROR(INDEX('RA5-ROM'!$A$8:$BN$8,1,MATCH(Summary!BF$1,'RA5-ROM'!$A$7:$BN$7,1)),0)+IFERROR(INDEX('RA6-CHPP'!$A$8:$BN$8,1,MATCH(Summary!BF$1,'RA6-CHPP'!$A$7:$BN$7,1)),0)+IFERROR(INDEX('RA7-Mine Infrastructure Area'!$A$8:$BN$8,1,MATCH(Summary!BF$1,'RA7-Mine Infrastructure Area'!$A$7:$BN$7,1)),0)+IFERROR(INDEX('RA8-Water Management Structures'!$A$8:$BN$8,1,MATCH(Summary!BF$1,'RA8-Water Management Structures'!$A$7:$BN$7,1)),0)+IFERROR(INDEX('RA9-Codisposal Upper'!$A$8:$BN$8,1,MATCH(Summary!BF$1,'RA9-Codisposal Upper'!$A$7:$BN$7,1)),0)+IFERROR(INDEX('RA10-Codisposal Slopes'!$A$8:$BN$8,1,MATCH(Summary!BF$1,'RA10-Codisposal Slopes'!$A$7:$BN$7,1)),0)+IFERROR(INDEX('IA1-Final Void inc Ramps'!$A$8:$BN$8,1,MATCH(Summary!BF$1,'IA1-Final Void inc Ramps'!$A$7:$BN$7,1)),0)</f>
        <v>2072.7109999999998</v>
      </c>
      <c r="BG12" s="47">
        <f>IFERROR(INDEX('RA1- Elevated Dumps Upper'!$A$8:$BN$8,1,MATCH(Summary!BG$1,'RA1- Elevated Dumps Upper'!$A$7:$BN$7,1)),0)+IFERROR(INDEX('RA2-Elevated Dumps Slopes'!$A$8:$BN$8,1,MATCH(Summary!BG$1,'RA2-Elevated Dumps Slopes'!$A$7:$BN$7,1)),0)+IFERROR(INDEX('RA3-Backfilled Pits'!$A$8:$BN$8,1,MATCH(Summary!BG$1,'RA3-Backfilled Pits'!$A$7:$BN$7,1)),0)+IFERROR(INDEX('RA4-Tracks_Roads'!$A$8:$BN$8,1,MATCH(Summary!BG$1,'RA4-Tracks_Roads'!$A$7:$BN$7,1)),0)+IFERROR(INDEX('RA5-ROM'!$A$8:$BN$8,1,MATCH(Summary!BG$1,'RA5-ROM'!$A$7:$BN$7,1)),0)+IFERROR(INDEX('RA6-CHPP'!$A$8:$BN$8,1,MATCH(Summary!BG$1,'RA6-CHPP'!$A$7:$BN$7,1)),0)+IFERROR(INDEX('RA7-Mine Infrastructure Area'!$A$8:$BN$8,1,MATCH(Summary!BG$1,'RA7-Mine Infrastructure Area'!$A$7:$BN$7,1)),0)+IFERROR(INDEX('RA8-Water Management Structures'!$A$8:$BN$8,1,MATCH(Summary!BG$1,'RA8-Water Management Structures'!$A$7:$BN$7,1)),0)+IFERROR(INDEX('RA9-Codisposal Upper'!$A$8:$BN$8,1,MATCH(Summary!BG$1,'RA9-Codisposal Upper'!$A$7:$BN$7,1)),0)+IFERROR(INDEX('RA10-Codisposal Slopes'!$A$8:$BN$8,1,MATCH(Summary!BG$1,'RA10-Codisposal Slopes'!$A$7:$BN$7,1)),0)+IFERROR(INDEX('IA1-Final Void inc Ramps'!$A$8:$BN$8,1,MATCH(Summary!BG$1,'IA1-Final Void inc Ramps'!$A$7:$BN$7,1)),0)</f>
        <v>2072.7109999999998</v>
      </c>
      <c r="BH12" s="47">
        <f>IFERROR(INDEX('RA1- Elevated Dumps Upper'!$A$8:$BN$8,1,MATCH(Summary!BH$1,'RA1- Elevated Dumps Upper'!$A$7:$BN$7,1)),0)+IFERROR(INDEX('RA2-Elevated Dumps Slopes'!$A$8:$BN$8,1,MATCH(Summary!BH$1,'RA2-Elevated Dumps Slopes'!$A$7:$BN$7,1)),0)+IFERROR(INDEX('RA3-Backfilled Pits'!$A$8:$BN$8,1,MATCH(Summary!BH$1,'RA3-Backfilled Pits'!$A$7:$BN$7,1)),0)+IFERROR(INDEX('RA4-Tracks_Roads'!$A$8:$BN$8,1,MATCH(Summary!BH$1,'RA4-Tracks_Roads'!$A$7:$BN$7,1)),0)+IFERROR(INDEX('RA5-ROM'!$A$8:$BN$8,1,MATCH(Summary!BH$1,'RA5-ROM'!$A$7:$BN$7,1)),0)+IFERROR(INDEX('RA6-CHPP'!$A$8:$BN$8,1,MATCH(Summary!BH$1,'RA6-CHPP'!$A$7:$BN$7,1)),0)+IFERROR(INDEX('RA7-Mine Infrastructure Area'!$A$8:$BN$8,1,MATCH(Summary!BH$1,'RA7-Mine Infrastructure Area'!$A$7:$BN$7,1)),0)+IFERROR(INDEX('RA8-Water Management Structures'!$A$8:$BN$8,1,MATCH(Summary!BH$1,'RA8-Water Management Structures'!$A$7:$BN$7,1)),0)+IFERROR(INDEX('RA9-Codisposal Upper'!$A$8:$BN$8,1,MATCH(Summary!BH$1,'RA9-Codisposal Upper'!$A$7:$BN$7,1)),0)+IFERROR(INDEX('RA10-Codisposal Slopes'!$A$8:$BN$8,1,MATCH(Summary!BH$1,'RA10-Codisposal Slopes'!$A$7:$BN$7,1)),0)+IFERROR(INDEX('IA1-Final Void inc Ramps'!$A$8:$BN$8,1,MATCH(Summary!BH$1,'IA1-Final Void inc Ramps'!$A$7:$BN$7,1)),0)</f>
        <v>2072.7109999999998</v>
      </c>
      <c r="BI12" s="47">
        <f>IFERROR(INDEX('RA1- Elevated Dumps Upper'!$A$8:$BN$8,1,MATCH(Summary!BI$1,'RA1- Elevated Dumps Upper'!$A$7:$BN$7,1)),0)+IFERROR(INDEX('RA2-Elevated Dumps Slopes'!$A$8:$BN$8,1,MATCH(Summary!BI$1,'RA2-Elevated Dumps Slopes'!$A$7:$BN$7,1)),0)+IFERROR(INDEX('RA3-Backfilled Pits'!$A$8:$BN$8,1,MATCH(Summary!BI$1,'RA3-Backfilled Pits'!$A$7:$BN$7,1)),0)+IFERROR(INDEX('RA4-Tracks_Roads'!$A$8:$BN$8,1,MATCH(Summary!BI$1,'RA4-Tracks_Roads'!$A$7:$BN$7,1)),0)+IFERROR(INDEX('RA5-ROM'!$A$8:$BN$8,1,MATCH(Summary!BI$1,'RA5-ROM'!$A$7:$BN$7,1)),0)+IFERROR(INDEX('RA6-CHPP'!$A$8:$BN$8,1,MATCH(Summary!BI$1,'RA6-CHPP'!$A$7:$BN$7,1)),0)+IFERROR(INDEX('RA7-Mine Infrastructure Area'!$A$8:$BN$8,1,MATCH(Summary!BI$1,'RA7-Mine Infrastructure Area'!$A$7:$BN$7,1)),0)+IFERROR(INDEX('RA8-Water Management Structures'!$A$8:$BN$8,1,MATCH(Summary!BI$1,'RA8-Water Management Structures'!$A$7:$BN$7,1)),0)+IFERROR(INDEX('RA9-Codisposal Upper'!$A$8:$BN$8,1,MATCH(Summary!BI$1,'RA9-Codisposal Upper'!$A$7:$BN$7,1)),0)+IFERROR(INDEX('RA10-Codisposal Slopes'!$A$8:$BN$8,1,MATCH(Summary!BI$1,'RA10-Codisposal Slopes'!$A$7:$BN$7,1)),0)+IFERROR(INDEX('IA1-Final Void inc Ramps'!$A$8:$BN$8,1,MATCH(Summary!BI$1,'IA1-Final Void inc Ramps'!$A$7:$BN$7,1)),0)</f>
        <v>2072.7109999999998</v>
      </c>
      <c r="BJ12" s="47">
        <f>IFERROR(INDEX('RA1- Elevated Dumps Upper'!$A$8:$BN$8,1,MATCH(Summary!BJ$1,'RA1- Elevated Dumps Upper'!$A$7:$BN$7,1)),0)+IFERROR(INDEX('RA2-Elevated Dumps Slopes'!$A$8:$BN$8,1,MATCH(Summary!BJ$1,'RA2-Elevated Dumps Slopes'!$A$7:$BN$7,1)),0)+IFERROR(INDEX('RA3-Backfilled Pits'!$A$8:$BN$8,1,MATCH(Summary!BJ$1,'RA3-Backfilled Pits'!$A$7:$BN$7,1)),0)+IFERROR(INDEX('RA4-Tracks_Roads'!$A$8:$BN$8,1,MATCH(Summary!BJ$1,'RA4-Tracks_Roads'!$A$7:$BN$7,1)),0)+IFERROR(INDEX('RA5-ROM'!$A$8:$BN$8,1,MATCH(Summary!BJ$1,'RA5-ROM'!$A$7:$BN$7,1)),0)+IFERROR(INDEX('RA6-CHPP'!$A$8:$BN$8,1,MATCH(Summary!BJ$1,'RA6-CHPP'!$A$7:$BN$7,1)),0)+IFERROR(INDEX('RA7-Mine Infrastructure Area'!$A$8:$BN$8,1,MATCH(Summary!BJ$1,'RA7-Mine Infrastructure Area'!$A$7:$BN$7,1)),0)+IFERROR(INDEX('RA8-Water Management Structures'!$A$8:$BN$8,1,MATCH(Summary!BJ$1,'RA8-Water Management Structures'!$A$7:$BN$7,1)),0)+IFERROR(INDEX('RA9-Codisposal Upper'!$A$8:$BN$8,1,MATCH(Summary!BJ$1,'RA9-Codisposal Upper'!$A$7:$BN$7,1)),0)+IFERROR(INDEX('RA10-Codisposal Slopes'!$A$8:$BN$8,1,MATCH(Summary!BJ$1,'RA10-Codisposal Slopes'!$A$7:$BN$7,1)),0)+IFERROR(INDEX('IA1-Final Void inc Ramps'!$A$8:$BN$8,1,MATCH(Summary!BJ$1,'IA1-Final Void inc Ramps'!$A$7:$BN$7,1)),0)</f>
        <v>2072.7109999999998</v>
      </c>
      <c r="BK12" s="47">
        <f>IFERROR(INDEX('RA1- Elevated Dumps Upper'!$A$8:$BN$8,1,MATCH(Summary!BK$1,'RA1- Elevated Dumps Upper'!$A$7:$BN$7,1)),0)+IFERROR(INDEX('RA2-Elevated Dumps Slopes'!$A$8:$BN$8,1,MATCH(Summary!BK$1,'RA2-Elevated Dumps Slopes'!$A$7:$BN$7,1)),0)+IFERROR(INDEX('RA3-Backfilled Pits'!$A$8:$BN$8,1,MATCH(Summary!BK$1,'RA3-Backfilled Pits'!$A$7:$BN$7,1)),0)+IFERROR(INDEX('RA4-Tracks_Roads'!$A$8:$BN$8,1,MATCH(Summary!BK$1,'RA4-Tracks_Roads'!$A$7:$BN$7,1)),0)+IFERROR(INDEX('RA5-ROM'!$A$8:$BN$8,1,MATCH(Summary!BK$1,'RA5-ROM'!$A$7:$BN$7,1)),0)+IFERROR(INDEX('RA6-CHPP'!$A$8:$BN$8,1,MATCH(Summary!BK$1,'RA6-CHPP'!$A$7:$BN$7,1)),0)+IFERROR(INDEX('RA7-Mine Infrastructure Area'!$A$8:$BN$8,1,MATCH(Summary!BK$1,'RA7-Mine Infrastructure Area'!$A$7:$BN$7,1)),0)+IFERROR(INDEX('RA8-Water Management Structures'!$A$8:$BN$8,1,MATCH(Summary!BK$1,'RA8-Water Management Structures'!$A$7:$BN$7,1)),0)+IFERROR(INDEX('RA9-Codisposal Upper'!$A$8:$BN$8,1,MATCH(Summary!BK$1,'RA9-Codisposal Upper'!$A$7:$BN$7,1)),0)+IFERROR(INDEX('RA10-Codisposal Slopes'!$A$8:$BN$8,1,MATCH(Summary!BK$1,'RA10-Codisposal Slopes'!$A$7:$BN$7,1)),0)+IFERROR(INDEX('IA1-Final Void inc Ramps'!$A$8:$BN$8,1,MATCH(Summary!BK$1,'IA1-Final Void inc Ramps'!$A$7:$BN$7,1)),0)</f>
        <v>2072.7109999999998</v>
      </c>
      <c r="BL12" s="47">
        <f>IFERROR(INDEX('RA1- Elevated Dumps Upper'!$A$8:$BN$8,1,MATCH(Summary!BL$1,'RA1- Elevated Dumps Upper'!$A$7:$BN$7,1)),0)+IFERROR(INDEX('RA2-Elevated Dumps Slopes'!$A$8:$BN$8,1,MATCH(Summary!BL$1,'RA2-Elevated Dumps Slopes'!$A$7:$BN$7,1)),0)+IFERROR(INDEX('RA3-Backfilled Pits'!$A$8:$BN$8,1,MATCH(Summary!BL$1,'RA3-Backfilled Pits'!$A$7:$BN$7,1)),0)+IFERROR(INDEX('RA4-Tracks_Roads'!$A$8:$BN$8,1,MATCH(Summary!BL$1,'RA4-Tracks_Roads'!$A$7:$BN$7,1)),0)+IFERROR(INDEX('RA5-ROM'!$A$8:$BN$8,1,MATCH(Summary!BL$1,'RA5-ROM'!$A$7:$BN$7,1)),0)+IFERROR(INDEX('RA6-CHPP'!$A$8:$BN$8,1,MATCH(Summary!BL$1,'RA6-CHPP'!$A$7:$BN$7,1)),0)+IFERROR(INDEX('RA7-Mine Infrastructure Area'!$A$8:$BN$8,1,MATCH(Summary!BL$1,'RA7-Mine Infrastructure Area'!$A$7:$BN$7,1)),0)+IFERROR(INDEX('RA8-Water Management Structures'!$A$8:$BN$8,1,MATCH(Summary!BL$1,'RA8-Water Management Structures'!$A$7:$BN$7,1)),0)+IFERROR(INDEX('RA9-Codisposal Upper'!$A$8:$BN$8,1,MATCH(Summary!BL$1,'RA9-Codisposal Upper'!$A$7:$BN$7,1)),0)+IFERROR(INDEX('RA10-Codisposal Slopes'!$A$8:$BN$8,1,MATCH(Summary!BL$1,'RA10-Codisposal Slopes'!$A$7:$BN$7,1)),0)+IFERROR(INDEX('IA1-Final Void inc Ramps'!$A$8:$BN$8,1,MATCH(Summary!BL$1,'IA1-Final Void inc Ramps'!$A$7:$BN$7,1)),0)</f>
        <v>2072.7109999999998</v>
      </c>
      <c r="BM12" s="47">
        <f>IFERROR(INDEX('RA1- Elevated Dumps Upper'!$A$8:$BN$8,1,MATCH(Summary!BM$1,'RA1- Elevated Dumps Upper'!$A$7:$BN$7,1)),0)+IFERROR(INDEX('RA2-Elevated Dumps Slopes'!$A$8:$BN$8,1,MATCH(Summary!BM$1,'RA2-Elevated Dumps Slopes'!$A$7:$BN$7,1)),0)+IFERROR(INDEX('RA3-Backfilled Pits'!$A$8:$BN$8,1,MATCH(Summary!BM$1,'RA3-Backfilled Pits'!$A$7:$BN$7,1)),0)+IFERROR(INDEX('RA4-Tracks_Roads'!$A$8:$BN$8,1,MATCH(Summary!BM$1,'RA4-Tracks_Roads'!$A$7:$BN$7,1)),0)+IFERROR(INDEX('RA5-ROM'!$A$8:$BN$8,1,MATCH(Summary!BM$1,'RA5-ROM'!$A$7:$BN$7,1)),0)+IFERROR(INDEX('RA6-CHPP'!$A$8:$BN$8,1,MATCH(Summary!BM$1,'RA6-CHPP'!$A$7:$BN$7,1)),0)+IFERROR(INDEX('RA7-Mine Infrastructure Area'!$A$8:$BN$8,1,MATCH(Summary!BM$1,'RA7-Mine Infrastructure Area'!$A$7:$BN$7,1)),0)+IFERROR(INDEX('RA8-Water Management Structures'!$A$8:$BN$8,1,MATCH(Summary!BM$1,'RA8-Water Management Structures'!$A$7:$BN$7,1)),0)+IFERROR(INDEX('RA9-Codisposal Upper'!$A$8:$BN$8,1,MATCH(Summary!BM$1,'RA9-Codisposal Upper'!$A$7:$BN$7,1)),0)+IFERROR(INDEX('RA10-Codisposal Slopes'!$A$8:$BN$8,1,MATCH(Summary!BM$1,'RA10-Codisposal Slopes'!$A$7:$BN$7,1)),0)+IFERROR(INDEX('IA1-Final Void inc Ramps'!$A$8:$BN$8,1,MATCH(Summary!BM$1,'IA1-Final Void inc Ramps'!$A$7:$BN$7,1)),0)</f>
        <v>2072.7109999999998</v>
      </c>
      <c r="BN12" s="47">
        <f>IFERROR(INDEX('RA1- Elevated Dumps Upper'!$A$8:$BN$8,1,MATCH(Summary!BN$1,'RA1- Elevated Dumps Upper'!$A$7:$BN$7,1)),0)+IFERROR(INDEX('RA2-Elevated Dumps Slopes'!$A$8:$BN$8,1,MATCH(Summary!BN$1,'RA2-Elevated Dumps Slopes'!$A$7:$BN$7,1)),0)+IFERROR(INDEX('RA3-Backfilled Pits'!$A$8:$BN$8,1,MATCH(Summary!BN$1,'RA3-Backfilled Pits'!$A$7:$BN$7,1)),0)+IFERROR(INDEX('RA4-Tracks_Roads'!$A$8:$BN$8,1,MATCH(Summary!BN$1,'RA4-Tracks_Roads'!$A$7:$BN$7,1)),0)+IFERROR(INDEX('RA5-ROM'!$A$8:$BN$8,1,MATCH(Summary!BN$1,'RA5-ROM'!$A$7:$BN$7,1)),0)+IFERROR(INDEX('RA6-CHPP'!$A$8:$BN$8,1,MATCH(Summary!BN$1,'RA6-CHPP'!$A$7:$BN$7,1)),0)+IFERROR(INDEX('RA7-Mine Infrastructure Area'!$A$8:$BN$8,1,MATCH(Summary!BN$1,'RA7-Mine Infrastructure Area'!$A$7:$BN$7,1)),0)+IFERROR(INDEX('RA8-Water Management Structures'!$A$8:$BN$8,1,MATCH(Summary!BN$1,'RA8-Water Management Structures'!$A$7:$BN$7,1)),0)+IFERROR(INDEX('RA9-Codisposal Upper'!$A$8:$BN$8,1,MATCH(Summary!BN$1,'RA9-Codisposal Upper'!$A$7:$BN$7,1)),0)+IFERROR(INDEX('RA10-Codisposal Slopes'!$A$8:$BN$8,1,MATCH(Summary!BN$1,'RA10-Codisposal Slopes'!$A$7:$BN$7,1)),0)+IFERROR(INDEX('IA1-Final Void inc Ramps'!$A$8:$BN$8,1,MATCH(Summary!BN$1,'IA1-Final Void inc Ramps'!$A$7:$BN$7,1)),0)</f>
        <v>2072.7109999999998</v>
      </c>
    </row>
    <row r="13" spans="1:66" x14ac:dyDescent="0.35">
      <c r="B13" t="s">
        <v>31</v>
      </c>
      <c r="D13" s="47">
        <f>IFERROR(VLOOKUP($B13,'RA1- Elevated Dumps Upper'!$A$11:$BN$18,MATCH(Summary!D$1,'RA1- Elevated Dumps Upper'!$A$9:$BN$9,1),FALSE),0)+IFERROR(VLOOKUP($B13,'RA2-Elevated Dumps Slopes'!$A$11:$BN$18,MATCH(Summary!D$1,'RA2-Elevated Dumps Slopes'!$A$9:$BN$9,1),FALSE),0)+IFERROR(VLOOKUP($B13,'RA3-Backfilled Pits'!$A$11:$BN$18,MATCH(Summary!D$1,'RA3-Backfilled Pits'!$A$9:$BN$9,1),FALSE),0)+IFERROR(VLOOKUP($B13,'RA4-Tracks_Roads'!$A$11:$BN$18,MATCH(Summary!D$1,'RA4-Tracks_Roads'!$A$9:$BN$9,1),FALSE),0)+IFERROR(VLOOKUP($B13,'RA5-ROM'!$A$11:$BN$18,MATCH(Summary!D$1,'RA5-ROM'!$A$9:$BN$9,1),FALSE),0)+IFERROR(VLOOKUP($B13,'RA6-CHPP'!$A$11:$BN$18,MATCH(Summary!D$1,'RA6-CHPP'!$A$9:$BN$9,1),FALSE),0)+IFERROR(VLOOKUP($B13,'RA7-Mine Infrastructure Area'!$A$11:$BN$18,MATCH(Summary!D$1,'RA7-Mine Infrastructure Area'!$A$9:$BN$9,1),FALSE),0)+IFERROR(VLOOKUP($B13,'RA8-Water Management Structures'!$A$11:$BN$18,MATCH(Summary!D$1,'RA8-Water Management Structures'!$A$9:$BN$9,1),FALSE),0)+IFERROR(VLOOKUP($B13,'RA9-Codisposal Upper'!$A$11:$BN$18,MATCH(Summary!D$1,'RA9-Codisposal Upper'!$A$9:$BN$9,1),FALSE),0)+IFERROR(VLOOKUP($B13,'RA10-Codisposal Slopes'!$A$11:$BN$18,MATCH(Summary!D$1,'RA10-Codisposal Slopes'!$A$9:$BN$9,1),FALSE),0)+IFERROR(VLOOKUP($B13,'IA1-Final Void inc Ramps'!$A$11:$BN$18,MATCH(Summary!D$1,'IA1-Final Void inc Ramps'!$A$9:$BN$9,1),FALSE),0)</f>
        <v>0</v>
      </c>
      <c r="E13" s="47">
        <f>IFERROR(VLOOKUP($B13,'RA1- Elevated Dumps Upper'!$A$11:$BN$18,MATCH(Summary!E$1,'RA1- Elevated Dumps Upper'!$A$9:$BN$9,1),FALSE),0)+IFERROR(VLOOKUP($B13,'RA2-Elevated Dumps Slopes'!$A$11:$BN$18,MATCH(Summary!E$1,'RA2-Elevated Dumps Slopes'!$A$9:$BN$9,1),FALSE),0)+IFERROR(VLOOKUP($B13,'RA3-Backfilled Pits'!$A$11:$BN$18,MATCH(Summary!E$1,'RA3-Backfilled Pits'!$A$9:$BN$9,1),FALSE),0)+IFERROR(VLOOKUP($B13,'RA4-Tracks_Roads'!$A$11:$BN$18,MATCH(Summary!E$1,'RA4-Tracks_Roads'!$A$9:$BN$9,1),FALSE),0)+IFERROR(VLOOKUP($B13,'RA5-ROM'!$A$11:$BN$18,MATCH(Summary!E$1,'RA5-ROM'!$A$9:$BN$9,1),FALSE),0)+IFERROR(VLOOKUP($B13,'RA6-CHPP'!$A$11:$BN$18,MATCH(Summary!E$1,'RA6-CHPP'!$A$9:$BN$9,1),FALSE),0)+IFERROR(VLOOKUP($B13,'RA7-Mine Infrastructure Area'!$A$11:$BN$18,MATCH(Summary!E$1,'RA7-Mine Infrastructure Area'!$A$9:$BN$9,1),FALSE),0)+IFERROR(VLOOKUP($B13,'RA8-Water Management Structures'!$A$11:$BN$18,MATCH(Summary!E$1,'RA8-Water Management Structures'!$A$9:$BN$9,1),FALSE),0)+IFERROR(VLOOKUP($B13,'RA9-Codisposal Upper'!$A$11:$BN$18,MATCH(Summary!E$1,'RA9-Codisposal Upper'!$A$9:$BN$9,1),FALSE),0)+IFERROR(VLOOKUP($B13,'RA10-Codisposal Slopes'!$A$11:$BN$18,MATCH(Summary!E$1,'RA10-Codisposal Slopes'!$A$9:$BN$9,1),FALSE),0)+IFERROR(VLOOKUP($B13,'IA1-Final Void inc Ramps'!$A$11:$BN$18,MATCH(Summary!E$1,'IA1-Final Void inc Ramps'!$A$9:$BN$9,1),FALSE),0)</f>
        <v>0</v>
      </c>
      <c r="F13" s="47">
        <f>IFERROR(VLOOKUP($B13,'RA1- Elevated Dumps Upper'!$A$11:$BN$18,MATCH(Summary!F$1,'RA1- Elevated Dumps Upper'!$A$9:$BN$9,1),FALSE),0)+IFERROR(VLOOKUP($B13,'RA2-Elevated Dumps Slopes'!$A$11:$BN$18,MATCH(Summary!F$1,'RA2-Elevated Dumps Slopes'!$A$9:$BN$9,1),FALSE),0)+IFERROR(VLOOKUP($B13,'RA3-Backfilled Pits'!$A$11:$BN$18,MATCH(Summary!F$1,'RA3-Backfilled Pits'!$A$9:$BN$9,1),FALSE),0)+IFERROR(VLOOKUP($B13,'RA4-Tracks_Roads'!$A$11:$BN$18,MATCH(Summary!F$1,'RA4-Tracks_Roads'!$A$9:$BN$9,1),FALSE),0)+IFERROR(VLOOKUP($B13,'RA5-ROM'!$A$11:$BN$18,MATCH(Summary!F$1,'RA5-ROM'!$A$9:$BN$9,1),FALSE),0)+IFERROR(VLOOKUP($B13,'RA6-CHPP'!$A$11:$BN$18,MATCH(Summary!F$1,'RA6-CHPP'!$A$9:$BN$9,1),FALSE),0)+IFERROR(VLOOKUP($B13,'RA7-Mine Infrastructure Area'!$A$11:$BN$18,MATCH(Summary!F$1,'RA7-Mine Infrastructure Area'!$A$9:$BN$9,1),FALSE),0)+IFERROR(VLOOKUP($B13,'RA8-Water Management Structures'!$A$11:$BN$18,MATCH(Summary!F$1,'RA8-Water Management Structures'!$A$9:$BN$9,1),FALSE),0)+IFERROR(VLOOKUP($B13,'RA9-Codisposal Upper'!$A$11:$BN$18,MATCH(Summary!F$1,'RA9-Codisposal Upper'!$A$9:$BN$9,1),FALSE),0)+IFERROR(VLOOKUP($B13,'RA10-Codisposal Slopes'!$A$11:$BN$18,MATCH(Summary!F$1,'RA10-Codisposal Slopes'!$A$9:$BN$9,1),FALSE),0)+IFERROR(VLOOKUP($B13,'IA1-Final Void inc Ramps'!$A$11:$BN$18,MATCH(Summary!F$1,'IA1-Final Void inc Ramps'!$A$9:$BN$9,1),FALSE),0)</f>
        <v>0</v>
      </c>
      <c r="G13" s="47">
        <f>IFERROR(VLOOKUP($B13,'RA1- Elevated Dumps Upper'!$A$11:$BN$18,MATCH(Summary!G$1,'RA1- Elevated Dumps Upper'!$A$9:$BN$9,1),FALSE),0)+IFERROR(VLOOKUP($B13,'RA2-Elevated Dumps Slopes'!$A$11:$BN$18,MATCH(Summary!G$1,'RA2-Elevated Dumps Slopes'!$A$9:$BN$9,1),FALSE),0)+IFERROR(VLOOKUP($B13,'RA3-Backfilled Pits'!$A$11:$BN$18,MATCH(Summary!G$1,'RA3-Backfilled Pits'!$A$9:$BN$9,1),FALSE),0)+IFERROR(VLOOKUP($B13,'RA4-Tracks_Roads'!$A$11:$BN$18,MATCH(Summary!G$1,'RA4-Tracks_Roads'!$A$9:$BN$9,1),FALSE),0)+IFERROR(VLOOKUP($B13,'RA5-ROM'!$A$11:$BN$18,MATCH(Summary!G$1,'RA5-ROM'!$A$9:$BN$9,1),FALSE),0)+IFERROR(VLOOKUP($B13,'RA6-CHPP'!$A$11:$BN$18,MATCH(Summary!G$1,'RA6-CHPP'!$A$9:$BN$9,1),FALSE),0)+IFERROR(VLOOKUP($B13,'RA7-Mine Infrastructure Area'!$A$11:$BN$18,MATCH(Summary!G$1,'RA7-Mine Infrastructure Area'!$A$9:$BN$9,1),FALSE),0)+IFERROR(VLOOKUP($B13,'RA8-Water Management Structures'!$A$11:$BN$18,MATCH(Summary!G$1,'RA8-Water Management Structures'!$A$9:$BN$9,1),FALSE),0)+IFERROR(VLOOKUP($B13,'RA9-Codisposal Upper'!$A$11:$BN$18,MATCH(Summary!G$1,'RA9-Codisposal Upper'!$A$9:$BN$9,1),FALSE),0)+IFERROR(VLOOKUP($B13,'RA10-Codisposal Slopes'!$A$11:$BN$18,MATCH(Summary!G$1,'RA10-Codisposal Slopes'!$A$9:$BN$9,1),FALSE),0)+IFERROR(VLOOKUP($B13,'IA1-Final Void inc Ramps'!$A$11:$BN$18,MATCH(Summary!G$1,'IA1-Final Void inc Ramps'!$A$9:$BN$9,1),FALSE),0)</f>
        <v>0</v>
      </c>
      <c r="H13" s="47">
        <f>IFERROR(VLOOKUP($B13,'RA1- Elevated Dumps Upper'!$A$11:$BN$18,MATCH(Summary!H$1,'RA1- Elevated Dumps Upper'!$A$9:$BN$9,1),FALSE),0)+IFERROR(VLOOKUP($B13,'RA2-Elevated Dumps Slopes'!$A$11:$BN$18,MATCH(Summary!H$1,'RA2-Elevated Dumps Slopes'!$A$9:$BN$9,1),FALSE),0)+IFERROR(VLOOKUP($B13,'RA3-Backfilled Pits'!$A$11:$BN$18,MATCH(Summary!H$1,'RA3-Backfilled Pits'!$A$9:$BN$9,1),FALSE),0)+IFERROR(VLOOKUP($B13,'RA4-Tracks_Roads'!$A$11:$BN$18,MATCH(Summary!H$1,'RA4-Tracks_Roads'!$A$9:$BN$9,1),FALSE),0)+IFERROR(VLOOKUP($B13,'RA5-ROM'!$A$11:$BN$18,MATCH(Summary!H$1,'RA5-ROM'!$A$9:$BN$9,1),FALSE),0)+IFERROR(VLOOKUP($B13,'RA6-CHPP'!$A$11:$BN$18,MATCH(Summary!H$1,'RA6-CHPP'!$A$9:$BN$9,1),FALSE),0)+IFERROR(VLOOKUP($B13,'RA7-Mine Infrastructure Area'!$A$11:$BN$18,MATCH(Summary!H$1,'RA7-Mine Infrastructure Area'!$A$9:$BN$9,1),FALSE),0)+IFERROR(VLOOKUP($B13,'RA8-Water Management Structures'!$A$11:$BN$18,MATCH(Summary!H$1,'RA8-Water Management Structures'!$A$9:$BN$9,1),FALSE),0)+IFERROR(VLOOKUP($B13,'RA9-Codisposal Upper'!$A$11:$BN$18,MATCH(Summary!H$1,'RA9-Codisposal Upper'!$A$9:$BN$9,1),FALSE),0)+IFERROR(VLOOKUP($B13,'RA10-Codisposal Slopes'!$A$11:$BN$18,MATCH(Summary!H$1,'RA10-Codisposal Slopes'!$A$9:$BN$9,1),FALSE),0)+IFERROR(VLOOKUP($B13,'IA1-Final Void inc Ramps'!$A$11:$BN$18,MATCH(Summary!H$1,'IA1-Final Void inc Ramps'!$A$9:$BN$9,1),FALSE),0)</f>
        <v>0</v>
      </c>
      <c r="I13" s="47">
        <f>IFERROR(VLOOKUP($B13,'RA1- Elevated Dumps Upper'!$A$11:$BN$18,MATCH(Summary!I$1,'RA1- Elevated Dumps Upper'!$A$9:$BN$9,1),FALSE),0)+IFERROR(VLOOKUP($B13,'RA2-Elevated Dumps Slopes'!$A$11:$BN$18,MATCH(Summary!I$1,'RA2-Elevated Dumps Slopes'!$A$9:$BN$9,1),FALSE),0)+IFERROR(VLOOKUP($B13,'RA3-Backfilled Pits'!$A$11:$BN$18,MATCH(Summary!I$1,'RA3-Backfilled Pits'!$A$9:$BN$9,1),FALSE),0)+IFERROR(VLOOKUP($B13,'RA4-Tracks_Roads'!$A$11:$BN$18,MATCH(Summary!I$1,'RA4-Tracks_Roads'!$A$9:$BN$9,1),FALSE),0)+IFERROR(VLOOKUP($B13,'RA5-ROM'!$A$11:$BN$18,MATCH(Summary!I$1,'RA5-ROM'!$A$9:$BN$9,1),FALSE),0)+IFERROR(VLOOKUP($B13,'RA6-CHPP'!$A$11:$BN$18,MATCH(Summary!I$1,'RA6-CHPP'!$A$9:$BN$9,1),FALSE),0)+IFERROR(VLOOKUP($B13,'RA7-Mine Infrastructure Area'!$A$11:$BN$18,MATCH(Summary!I$1,'RA7-Mine Infrastructure Area'!$A$9:$BN$9,1),FALSE),0)+IFERROR(VLOOKUP($B13,'RA8-Water Management Structures'!$A$11:$BN$18,MATCH(Summary!I$1,'RA8-Water Management Structures'!$A$9:$BN$9,1),FALSE),0)+IFERROR(VLOOKUP($B13,'RA9-Codisposal Upper'!$A$11:$BN$18,MATCH(Summary!I$1,'RA9-Codisposal Upper'!$A$9:$BN$9,1),FALSE),0)+IFERROR(VLOOKUP($B13,'RA10-Codisposal Slopes'!$A$11:$BN$18,MATCH(Summary!I$1,'RA10-Codisposal Slopes'!$A$9:$BN$9,1),FALSE),0)+IFERROR(VLOOKUP($B13,'IA1-Final Void inc Ramps'!$A$11:$BN$18,MATCH(Summary!I$1,'IA1-Final Void inc Ramps'!$A$9:$BN$9,1),FALSE),0)</f>
        <v>0</v>
      </c>
      <c r="J13" s="47">
        <f>IFERROR(VLOOKUP($B13,'RA1- Elevated Dumps Upper'!$A$11:$BN$18,MATCH(Summary!J$1,'RA1- Elevated Dumps Upper'!$A$9:$BN$9,1),FALSE),0)+IFERROR(VLOOKUP($B13,'RA2-Elevated Dumps Slopes'!$A$11:$BN$18,MATCH(Summary!J$1,'RA2-Elevated Dumps Slopes'!$A$9:$BN$9,1),FALSE),0)+IFERROR(VLOOKUP($B13,'RA3-Backfilled Pits'!$A$11:$BN$18,MATCH(Summary!J$1,'RA3-Backfilled Pits'!$A$9:$BN$9,1),FALSE),0)+IFERROR(VLOOKUP($B13,'RA4-Tracks_Roads'!$A$11:$BN$18,MATCH(Summary!J$1,'RA4-Tracks_Roads'!$A$9:$BN$9,1),FALSE),0)+IFERROR(VLOOKUP($B13,'RA5-ROM'!$A$11:$BN$18,MATCH(Summary!J$1,'RA5-ROM'!$A$9:$BN$9,1),FALSE),0)+IFERROR(VLOOKUP($B13,'RA6-CHPP'!$A$11:$BN$18,MATCH(Summary!J$1,'RA6-CHPP'!$A$9:$BN$9,1),FALSE),0)+IFERROR(VLOOKUP($B13,'RA7-Mine Infrastructure Area'!$A$11:$BN$18,MATCH(Summary!J$1,'RA7-Mine Infrastructure Area'!$A$9:$BN$9,1),FALSE),0)+IFERROR(VLOOKUP($B13,'RA8-Water Management Structures'!$A$11:$BN$18,MATCH(Summary!J$1,'RA8-Water Management Structures'!$A$9:$BN$9,1),FALSE),0)+IFERROR(VLOOKUP($B13,'RA9-Codisposal Upper'!$A$11:$BN$18,MATCH(Summary!J$1,'RA9-Codisposal Upper'!$A$9:$BN$9,1),FALSE),0)+IFERROR(VLOOKUP($B13,'RA10-Codisposal Slopes'!$A$11:$BN$18,MATCH(Summary!J$1,'RA10-Codisposal Slopes'!$A$9:$BN$9,1),FALSE),0)+IFERROR(VLOOKUP($B13,'IA1-Final Void inc Ramps'!$A$11:$BN$18,MATCH(Summary!J$1,'IA1-Final Void inc Ramps'!$A$9:$BN$9,1),FALSE),0)</f>
        <v>0</v>
      </c>
      <c r="K13" s="47">
        <f>IFERROR(VLOOKUP($B13,'RA1- Elevated Dumps Upper'!$A$11:$BN$18,MATCH(Summary!K$1,'RA1- Elevated Dumps Upper'!$A$9:$BN$9,1),FALSE),0)+IFERROR(VLOOKUP($B13,'RA2-Elevated Dumps Slopes'!$A$11:$BN$18,MATCH(Summary!K$1,'RA2-Elevated Dumps Slopes'!$A$9:$BN$9,1),FALSE),0)+IFERROR(VLOOKUP($B13,'RA3-Backfilled Pits'!$A$11:$BN$18,MATCH(Summary!K$1,'RA3-Backfilled Pits'!$A$9:$BN$9,1),FALSE),0)+IFERROR(VLOOKUP($B13,'RA4-Tracks_Roads'!$A$11:$BN$18,MATCH(Summary!K$1,'RA4-Tracks_Roads'!$A$9:$BN$9,1),FALSE),0)+IFERROR(VLOOKUP($B13,'RA5-ROM'!$A$11:$BN$18,MATCH(Summary!K$1,'RA5-ROM'!$A$9:$BN$9,1),FALSE),0)+IFERROR(VLOOKUP($B13,'RA6-CHPP'!$A$11:$BN$18,MATCH(Summary!K$1,'RA6-CHPP'!$A$9:$BN$9,1),FALSE),0)+IFERROR(VLOOKUP($B13,'RA7-Mine Infrastructure Area'!$A$11:$BN$18,MATCH(Summary!K$1,'RA7-Mine Infrastructure Area'!$A$9:$BN$9,1),FALSE),0)+IFERROR(VLOOKUP($B13,'RA8-Water Management Structures'!$A$11:$BN$18,MATCH(Summary!K$1,'RA8-Water Management Structures'!$A$9:$BN$9,1),FALSE),0)+IFERROR(VLOOKUP($B13,'RA9-Codisposal Upper'!$A$11:$BN$18,MATCH(Summary!K$1,'RA9-Codisposal Upper'!$A$9:$BN$9,1),FALSE),0)+IFERROR(VLOOKUP($B13,'RA10-Codisposal Slopes'!$A$11:$BN$18,MATCH(Summary!K$1,'RA10-Codisposal Slopes'!$A$9:$BN$9,1),FALSE),0)+IFERROR(VLOOKUP($B13,'IA1-Final Void inc Ramps'!$A$11:$BN$18,MATCH(Summary!K$1,'IA1-Final Void inc Ramps'!$A$9:$BN$9,1),FALSE),0)</f>
        <v>0</v>
      </c>
      <c r="L13" s="47">
        <f>IFERROR(VLOOKUP($B13,'RA1- Elevated Dumps Upper'!$A$11:$BN$18,MATCH(Summary!L$1,'RA1- Elevated Dumps Upper'!$A$9:$BN$9,1),FALSE),0)+IFERROR(VLOOKUP($B13,'RA2-Elevated Dumps Slopes'!$A$11:$BN$18,MATCH(Summary!L$1,'RA2-Elevated Dumps Slopes'!$A$9:$BN$9,1),FALSE),0)+IFERROR(VLOOKUP($B13,'RA3-Backfilled Pits'!$A$11:$BN$18,MATCH(Summary!L$1,'RA3-Backfilled Pits'!$A$9:$BN$9,1),FALSE),0)+IFERROR(VLOOKUP($B13,'RA4-Tracks_Roads'!$A$11:$BN$18,MATCH(Summary!L$1,'RA4-Tracks_Roads'!$A$9:$BN$9,1),FALSE),0)+IFERROR(VLOOKUP($B13,'RA5-ROM'!$A$11:$BN$18,MATCH(Summary!L$1,'RA5-ROM'!$A$9:$BN$9,1),FALSE),0)+IFERROR(VLOOKUP($B13,'RA6-CHPP'!$A$11:$BN$18,MATCH(Summary!L$1,'RA6-CHPP'!$A$9:$BN$9,1),FALSE),0)+IFERROR(VLOOKUP($B13,'RA7-Mine Infrastructure Area'!$A$11:$BN$18,MATCH(Summary!L$1,'RA7-Mine Infrastructure Area'!$A$9:$BN$9,1),FALSE),0)+IFERROR(VLOOKUP($B13,'RA8-Water Management Structures'!$A$11:$BN$18,MATCH(Summary!L$1,'RA8-Water Management Structures'!$A$9:$BN$9,1),FALSE),0)+IFERROR(VLOOKUP($B13,'RA9-Codisposal Upper'!$A$11:$BN$18,MATCH(Summary!L$1,'RA9-Codisposal Upper'!$A$9:$BN$9,1),FALSE),0)+IFERROR(VLOOKUP($B13,'RA10-Codisposal Slopes'!$A$11:$BN$18,MATCH(Summary!L$1,'RA10-Codisposal Slopes'!$A$9:$BN$9,1),FALSE),0)+IFERROR(VLOOKUP($B13,'IA1-Final Void inc Ramps'!$A$11:$BN$18,MATCH(Summary!L$1,'IA1-Final Void inc Ramps'!$A$9:$BN$9,1),FALSE),0)</f>
        <v>0</v>
      </c>
      <c r="M13" s="47">
        <f>IFERROR(VLOOKUP($B13,'RA1- Elevated Dumps Upper'!$A$11:$BN$18,MATCH(Summary!M$1,'RA1- Elevated Dumps Upper'!$A$9:$BN$9,1),FALSE),0)+IFERROR(VLOOKUP($B13,'RA2-Elevated Dumps Slopes'!$A$11:$BN$18,MATCH(Summary!M$1,'RA2-Elevated Dumps Slopes'!$A$9:$BN$9,1),FALSE),0)+IFERROR(VLOOKUP($B13,'RA3-Backfilled Pits'!$A$11:$BN$18,MATCH(Summary!M$1,'RA3-Backfilled Pits'!$A$9:$BN$9,1),FALSE),0)+IFERROR(VLOOKUP($B13,'RA4-Tracks_Roads'!$A$11:$BN$18,MATCH(Summary!M$1,'RA4-Tracks_Roads'!$A$9:$BN$9,1),FALSE),0)+IFERROR(VLOOKUP($B13,'RA5-ROM'!$A$11:$BN$18,MATCH(Summary!M$1,'RA5-ROM'!$A$9:$BN$9,1),FALSE),0)+IFERROR(VLOOKUP($B13,'RA6-CHPP'!$A$11:$BN$18,MATCH(Summary!M$1,'RA6-CHPP'!$A$9:$BN$9,1),FALSE),0)+IFERROR(VLOOKUP($B13,'RA7-Mine Infrastructure Area'!$A$11:$BN$18,MATCH(Summary!M$1,'RA7-Mine Infrastructure Area'!$A$9:$BN$9,1),FALSE),0)+IFERROR(VLOOKUP($B13,'RA8-Water Management Structures'!$A$11:$BN$18,MATCH(Summary!M$1,'RA8-Water Management Structures'!$A$9:$BN$9,1),FALSE),0)+IFERROR(VLOOKUP($B13,'RA9-Codisposal Upper'!$A$11:$BN$18,MATCH(Summary!M$1,'RA9-Codisposal Upper'!$A$9:$BN$9,1),FALSE),0)+IFERROR(VLOOKUP($B13,'RA10-Codisposal Slopes'!$A$11:$BN$18,MATCH(Summary!M$1,'RA10-Codisposal Slopes'!$A$9:$BN$9,1),FALSE),0)+IFERROR(VLOOKUP($B13,'IA1-Final Void inc Ramps'!$A$11:$BN$18,MATCH(Summary!M$1,'IA1-Final Void inc Ramps'!$A$9:$BN$9,1),FALSE),0)</f>
        <v>0</v>
      </c>
      <c r="N13" s="47">
        <f>IFERROR(VLOOKUP($B13,'RA1- Elevated Dumps Upper'!$A$11:$BN$18,MATCH(Summary!N$1,'RA1- Elevated Dumps Upper'!$A$9:$BN$9,1),FALSE),0)+IFERROR(VLOOKUP($B13,'RA2-Elevated Dumps Slopes'!$A$11:$BN$18,MATCH(Summary!N$1,'RA2-Elevated Dumps Slopes'!$A$9:$BN$9,1),FALSE),0)+IFERROR(VLOOKUP($B13,'RA3-Backfilled Pits'!$A$11:$BN$18,MATCH(Summary!N$1,'RA3-Backfilled Pits'!$A$9:$BN$9,1),FALSE),0)+IFERROR(VLOOKUP($B13,'RA4-Tracks_Roads'!$A$11:$BN$18,MATCH(Summary!N$1,'RA4-Tracks_Roads'!$A$9:$BN$9,1),FALSE),0)+IFERROR(VLOOKUP($B13,'RA5-ROM'!$A$11:$BN$18,MATCH(Summary!N$1,'RA5-ROM'!$A$9:$BN$9,1),FALSE),0)+IFERROR(VLOOKUP($B13,'RA6-CHPP'!$A$11:$BN$18,MATCH(Summary!N$1,'RA6-CHPP'!$A$9:$BN$9,1),FALSE),0)+IFERROR(VLOOKUP($B13,'RA7-Mine Infrastructure Area'!$A$11:$BN$18,MATCH(Summary!N$1,'RA7-Mine Infrastructure Area'!$A$9:$BN$9,1),FALSE),0)+IFERROR(VLOOKUP($B13,'RA8-Water Management Structures'!$A$11:$BN$18,MATCH(Summary!N$1,'RA8-Water Management Structures'!$A$9:$BN$9,1),FALSE),0)+IFERROR(VLOOKUP($B13,'RA9-Codisposal Upper'!$A$11:$BN$18,MATCH(Summary!N$1,'RA9-Codisposal Upper'!$A$9:$BN$9,1),FALSE),0)+IFERROR(VLOOKUP($B13,'RA10-Codisposal Slopes'!$A$11:$BN$18,MATCH(Summary!N$1,'RA10-Codisposal Slopes'!$A$9:$BN$9,1),FALSE),0)+IFERROR(VLOOKUP($B13,'IA1-Final Void inc Ramps'!$A$11:$BN$18,MATCH(Summary!N$1,'IA1-Final Void inc Ramps'!$A$9:$BN$9,1),FALSE),0)</f>
        <v>0</v>
      </c>
      <c r="O13" s="47">
        <f>IFERROR(VLOOKUP($B13,'RA1- Elevated Dumps Upper'!$A$11:$BN$18,MATCH(Summary!O$1,'RA1- Elevated Dumps Upper'!$A$9:$BN$9,1),FALSE),0)+IFERROR(VLOOKUP($B13,'RA2-Elevated Dumps Slopes'!$A$11:$BN$18,MATCH(Summary!O$1,'RA2-Elevated Dumps Slopes'!$A$9:$BN$9,1),FALSE),0)+IFERROR(VLOOKUP($B13,'RA3-Backfilled Pits'!$A$11:$BN$18,MATCH(Summary!O$1,'RA3-Backfilled Pits'!$A$9:$BN$9,1),FALSE),0)+IFERROR(VLOOKUP($B13,'RA4-Tracks_Roads'!$A$11:$BN$18,MATCH(Summary!O$1,'RA4-Tracks_Roads'!$A$9:$BN$9,1),FALSE),0)+IFERROR(VLOOKUP($B13,'RA5-ROM'!$A$11:$BN$18,MATCH(Summary!O$1,'RA5-ROM'!$A$9:$BN$9,1),FALSE),0)+IFERROR(VLOOKUP($B13,'RA6-CHPP'!$A$11:$BN$18,MATCH(Summary!O$1,'RA6-CHPP'!$A$9:$BN$9,1),FALSE),0)+IFERROR(VLOOKUP($B13,'RA7-Mine Infrastructure Area'!$A$11:$BN$18,MATCH(Summary!O$1,'RA7-Mine Infrastructure Area'!$A$9:$BN$9,1),FALSE),0)+IFERROR(VLOOKUP($B13,'RA8-Water Management Structures'!$A$11:$BN$18,MATCH(Summary!O$1,'RA8-Water Management Structures'!$A$9:$BN$9,1),FALSE),0)+IFERROR(VLOOKUP($B13,'RA9-Codisposal Upper'!$A$11:$BN$18,MATCH(Summary!O$1,'RA9-Codisposal Upper'!$A$9:$BN$9,1),FALSE),0)+IFERROR(VLOOKUP($B13,'RA10-Codisposal Slopes'!$A$11:$BN$18,MATCH(Summary!O$1,'RA10-Codisposal Slopes'!$A$9:$BN$9,1),FALSE),0)+IFERROR(VLOOKUP($B13,'IA1-Final Void inc Ramps'!$A$11:$BN$18,MATCH(Summary!O$1,'IA1-Final Void inc Ramps'!$A$9:$BN$9,1),FALSE),0)</f>
        <v>0</v>
      </c>
      <c r="P13" s="47">
        <f>IFERROR(VLOOKUP($B13,'RA1- Elevated Dumps Upper'!$A$11:$BN$18,MATCH(Summary!P$1,'RA1- Elevated Dumps Upper'!$A$9:$BN$9,1),FALSE),0)+IFERROR(VLOOKUP($B13,'RA2-Elevated Dumps Slopes'!$A$11:$BN$18,MATCH(Summary!P$1,'RA2-Elevated Dumps Slopes'!$A$9:$BN$9,1),FALSE),0)+IFERROR(VLOOKUP($B13,'RA3-Backfilled Pits'!$A$11:$BN$18,MATCH(Summary!P$1,'RA3-Backfilled Pits'!$A$9:$BN$9,1),FALSE),0)+IFERROR(VLOOKUP($B13,'RA4-Tracks_Roads'!$A$11:$BN$18,MATCH(Summary!P$1,'RA4-Tracks_Roads'!$A$9:$BN$9,1),FALSE),0)+IFERROR(VLOOKUP($B13,'RA5-ROM'!$A$11:$BN$18,MATCH(Summary!P$1,'RA5-ROM'!$A$9:$BN$9,1),FALSE),0)+IFERROR(VLOOKUP($B13,'RA6-CHPP'!$A$11:$BN$18,MATCH(Summary!P$1,'RA6-CHPP'!$A$9:$BN$9,1),FALSE),0)+IFERROR(VLOOKUP($B13,'RA7-Mine Infrastructure Area'!$A$11:$BN$18,MATCH(Summary!P$1,'RA7-Mine Infrastructure Area'!$A$9:$BN$9,1),FALSE),0)+IFERROR(VLOOKUP($B13,'RA8-Water Management Structures'!$A$11:$BN$18,MATCH(Summary!P$1,'RA8-Water Management Structures'!$A$9:$BN$9,1),FALSE),0)+IFERROR(VLOOKUP($B13,'RA9-Codisposal Upper'!$A$11:$BN$18,MATCH(Summary!P$1,'RA9-Codisposal Upper'!$A$9:$BN$9,1),FALSE),0)+IFERROR(VLOOKUP($B13,'RA10-Codisposal Slopes'!$A$11:$BN$18,MATCH(Summary!P$1,'RA10-Codisposal Slopes'!$A$9:$BN$9,1),FALSE),0)+IFERROR(VLOOKUP($B13,'IA1-Final Void inc Ramps'!$A$11:$BN$18,MATCH(Summary!P$1,'IA1-Final Void inc Ramps'!$A$9:$BN$9,1),FALSE),0)</f>
        <v>0</v>
      </c>
      <c r="Q13" s="47">
        <f>IFERROR(VLOOKUP($B13,'RA1- Elevated Dumps Upper'!$A$11:$BN$18,MATCH(Summary!Q$1,'RA1- Elevated Dumps Upper'!$A$9:$BN$9,1),FALSE),0)+IFERROR(VLOOKUP($B13,'RA2-Elevated Dumps Slopes'!$A$11:$BN$18,MATCH(Summary!Q$1,'RA2-Elevated Dumps Slopes'!$A$9:$BN$9,1),FALSE),0)+IFERROR(VLOOKUP($B13,'RA3-Backfilled Pits'!$A$11:$BN$18,MATCH(Summary!Q$1,'RA3-Backfilled Pits'!$A$9:$BN$9,1),FALSE),0)+IFERROR(VLOOKUP($B13,'RA4-Tracks_Roads'!$A$11:$BN$18,MATCH(Summary!Q$1,'RA4-Tracks_Roads'!$A$9:$BN$9,1),FALSE),0)+IFERROR(VLOOKUP($B13,'RA5-ROM'!$A$11:$BN$18,MATCH(Summary!Q$1,'RA5-ROM'!$A$9:$BN$9,1),FALSE),0)+IFERROR(VLOOKUP($B13,'RA6-CHPP'!$A$11:$BN$18,MATCH(Summary!Q$1,'RA6-CHPP'!$A$9:$BN$9,1),FALSE),0)+IFERROR(VLOOKUP($B13,'RA7-Mine Infrastructure Area'!$A$11:$BN$18,MATCH(Summary!Q$1,'RA7-Mine Infrastructure Area'!$A$9:$BN$9,1),FALSE),0)+IFERROR(VLOOKUP($B13,'RA8-Water Management Structures'!$A$11:$BN$18,MATCH(Summary!Q$1,'RA8-Water Management Structures'!$A$9:$BN$9,1),FALSE),0)+IFERROR(VLOOKUP($B13,'RA9-Codisposal Upper'!$A$11:$BN$18,MATCH(Summary!Q$1,'RA9-Codisposal Upper'!$A$9:$BN$9,1),FALSE),0)+IFERROR(VLOOKUP($B13,'RA10-Codisposal Slopes'!$A$11:$BN$18,MATCH(Summary!Q$1,'RA10-Codisposal Slopes'!$A$9:$BN$9,1),FALSE),0)+IFERROR(VLOOKUP($B13,'IA1-Final Void inc Ramps'!$A$11:$BN$18,MATCH(Summary!Q$1,'IA1-Final Void inc Ramps'!$A$9:$BN$9,1),FALSE),0)</f>
        <v>0</v>
      </c>
      <c r="R13" s="47">
        <f>IFERROR(VLOOKUP($B13,'RA1- Elevated Dumps Upper'!$A$11:$BN$18,MATCH(Summary!R$1,'RA1- Elevated Dumps Upper'!$A$9:$BN$9,1),FALSE),0)+IFERROR(VLOOKUP($B13,'RA2-Elevated Dumps Slopes'!$A$11:$BN$18,MATCH(Summary!R$1,'RA2-Elevated Dumps Slopes'!$A$9:$BN$9,1),FALSE),0)+IFERROR(VLOOKUP($B13,'RA3-Backfilled Pits'!$A$11:$BN$18,MATCH(Summary!R$1,'RA3-Backfilled Pits'!$A$9:$BN$9,1),FALSE),0)+IFERROR(VLOOKUP($B13,'RA4-Tracks_Roads'!$A$11:$BN$18,MATCH(Summary!R$1,'RA4-Tracks_Roads'!$A$9:$BN$9,1),FALSE),0)+IFERROR(VLOOKUP($B13,'RA5-ROM'!$A$11:$BN$18,MATCH(Summary!R$1,'RA5-ROM'!$A$9:$BN$9,1),FALSE),0)+IFERROR(VLOOKUP($B13,'RA6-CHPP'!$A$11:$BN$18,MATCH(Summary!R$1,'RA6-CHPP'!$A$9:$BN$9,1),FALSE),0)+IFERROR(VLOOKUP($B13,'RA7-Mine Infrastructure Area'!$A$11:$BN$18,MATCH(Summary!R$1,'RA7-Mine Infrastructure Area'!$A$9:$BN$9,1),FALSE),0)+IFERROR(VLOOKUP($B13,'RA8-Water Management Structures'!$A$11:$BN$18,MATCH(Summary!R$1,'RA8-Water Management Structures'!$A$9:$BN$9,1),FALSE),0)+IFERROR(VLOOKUP($B13,'RA9-Codisposal Upper'!$A$11:$BN$18,MATCH(Summary!R$1,'RA9-Codisposal Upper'!$A$9:$BN$9,1),FALSE),0)+IFERROR(VLOOKUP($B13,'RA10-Codisposal Slopes'!$A$11:$BN$18,MATCH(Summary!R$1,'RA10-Codisposal Slopes'!$A$9:$BN$9,1),FALSE),0)+IFERROR(VLOOKUP($B13,'IA1-Final Void inc Ramps'!$A$11:$BN$18,MATCH(Summary!R$1,'IA1-Final Void inc Ramps'!$A$9:$BN$9,1),FALSE),0)</f>
        <v>0</v>
      </c>
      <c r="S13" s="47">
        <f>IFERROR(VLOOKUP($B13,'RA1- Elevated Dumps Upper'!$A$11:$BN$18,MATCH(Summary!S$1,'RA1- Elevated Dumps Upper'!$A$9:$BN$9,1),FALSE),0)+IFERROR(VLOOKUP($B13,'RA2-Elevated Dumps Slopes'!$A$11:$BN$18,MATCH(Summary!S$1,'RA2-Elevated Dumps Slopes'!$A$9:$BN$9,1),FALSE),0)+IFERROR(VLOOKUP($B13,'RA3-Backfilled Pits'!$A$11:$BN$18,MATCH(Summary!S$1,'RA3-Backfilled Pits'!$A$9:$BN$9,1),FALSE),0)+IFERROR(VLOOKUP($B13,'RA4-Tracks_Roads'!$A$11:$BN$18,MATCH(Summary!S$1,'RA4-Tracks_Roads'!$A$9:$BN$9,1),FALSE),0)+IFERROR(VLOOKUP($B13,'RA5-ROM'!$A$11:$BN$18,MATCH(Summary!S$1,'RA5-ROM'!$A$9:$BN$9,1),FALSE),0)+IFERROR(VLOOKUP($B13,'RA6-CHPP'!$A$11:$BN$18,MATCH(Summary!S$1,'RA6-CHPP'!$A$9:$BN$9,1),FALSE),0)+IFERROR(VLOOKUP($B13,'RA7-Mine Infrastructure Area'!$A$11:$BN$18,MATCH(Summary!S$1,'RA7-Mine Infrastructure Area'!$A$9:$BN$9,1),FALSE),0)+IFERROR(VLOOKUP($B13,'RA8-Water Management Structures'!$A$11:$BN$18,MATCH(Summary!S$1,'RA8-Water Management Structures'!$A$9:$BN$9,1),FALSE),0)+IFERROR(VLOOKUP($B13,'RA9-Codisposal Upper'!$A$11:$BN$18,MATCH(Summary!S$1,'RA9-Codisposal Upper'!$A$9:$BN$9,1),FALSE),0)+IFERROR(VLOOKUP($B13,'RA10-Codisposal Slopes'!$A$11:$BN$18,MATCH(Summary!S$1,'RA10-Codisposal Slopes'!$A$9:$BN$9,1),FALSE),0)+IFERROR(VLOOKUP($B13,'IA1-Final Void inc Ramps'!$A$11:$BN$18,MATCH(Summary!S$1,'IA1-Final Void inc Ramps'!$A$9:$BN$9,1),FALSE),0)</f>
        <v>0</v>
      </c>
      <c r="T13" s="47">
        <f>IFERROR(VLOOKUP($B13,'RA1- Elevated Dumps Upper'!$A$11:$BN$18,MATCH(Summary!T$1,'RA1- Elevated Dumps Upper'!$A$9:$BN$9,1),FALSE),0)+IFERROR(VLOOKUP($B13,'RA2-Elevated Dumps Slopes'!$A$11:$BN$18,MATCH(Summary!T$1,'RA2-Elevated Dumps Slopes'!$A$9:$BN$9,1),FALSE),0)+IFERROR(VLOOKUP($B13,'RA3-Backfilled Pits'!$A$11:$BN$18,MATCH(Summary!T$1,'RA3-Backfilled Pits'!$A$9:$BN$9,1),FALSE),0)+IFERROR(VLOOKUP($B13,'RA4-Tracks_Roads'!$A$11:$BN$18,MATCH(Summary!T$1,'RA4-Tracks_Roads'!$A$9:$BN$9,1),FALSE),0)+IFERROR(VLOOKUP($B13,'RA5-ROM'!$A$11:$BN$18,MATCH(Summary!T$1,'RA5-ROM'!$A$9:$BN$9,1),FALSE),0)+IFERROR(VLOOKUP($B13,'RA6-CHPP'!$A$11:$BN$18,MATCH(Summary!T$1,'RA6-CHPP'!$A$9:$BN$9,1),FALSE),0)+IFERROR(VLOOKUP($B13,'RA7-Mine Infrastructure Area'!$A$11:$BN$18,MATCH(Summary!T$1,'RA7-Mine Infrastructure Area'!$A$9:$BN$9,1),FALSE),0)+IFERROR(VLOOKUP($B13,'RA8-Water Management Structures'!$A$11:$BN$18,MATCH(Summary!T$1,'RA8-Water Management Structures'!$A$9:$BN$9,1),FALSE),0)+IFERROR(VLOOKUP($B13,'RA9-Codisposal Upper'!$A$11:$BN$18,MATCH(Summary!T$1,'RA9-Codisposal Upper'!$A$9:$BN$9,1),FALSE),0)+IFERROR(VLOOKUP($B13,'RA10-Codisposal Slopes'!$A$11:$BN$18,MATCH(Summary!T$1,'RA10-Codisposal Slopes'!$A$9:$BN$9,1),FALSE),0)+IFERROR(VLOOKUP($B13,'IA1-Final Void inc Ramps'!$A$11:$BN$18,MATCH(Summary!T$1,'IA1-Final Void inc Ramps'!$A$9:$BN$9,1),FALSE),0)</f>
        <v>0</v>
      </c>
      <c r="U13" s="47">
        <f>IFERROR(VLOOKUP($B13,'RA1- Elevated Dumps Upper'!$A$11:$BN$18,MATCH(Summary!U$1,'RA1- Elevated Dumps Upper'!$A$9:$BN$9,1),FALSE),0)+IFERROR(VLOOKUP($B13,'RA2-Elevated Dumps Slopes'!$A$11:$BN$18,MATCH(Summary!U$1,'RA2-Elevated Dumps Slopes'!$A$9:$BN$9,1),FALSE),0)+IFERROR(VLOOKUP($B13,'RA3-Backfilled Pits'!$A$11:$BN$18,MATCH(Summary!U$1,'RA3-Backfilled Pits'!$A$9:$BN$9,1),FALSE),0)+IFERROR(VLOOKUP($B13,'RA4-Tracks_Roads'!$A$11:$BN$18,MATCH(Summary!U$1,'RA4-Tracks_Roads'!$A$9:$BN$9,1),FALSE),0)+IFERROR(VLOOKUP($B13,'RA5-ROM'!$A$11:$BN$18,MATCH(Summary!U$1,'RA5-ROM'!$A$9:$BN$9,1),FALSE),0)+IFERROR(VLOOKUP($B13,'RA6-CHPP'!$A$11:$BN$18,MATCH(Summary!U$1,'RA6-CHPP'!$A$9:$BN$9,1),FALSE),0)+IFERROR(VLOOKUP($B13,'RA7-Mine Infrastructure Area'!$A$11:$BN$18,MATCH(Summary!U$1,'RA7-Mine Infrastructure Area'!$A$9:$BN$9,1),FALSE),0)+IFERROR(VLOOKUP($B13,'RA8-Water Management Structures'!$A$11:$BN$18,MATCH(Summary!U$1,'RA8-Water Management Structures'!$A$9:$BN$9,1),FALSE),0)+IFERROR(VLOOKUP($B13,'RA9-Codisposal Upper'!$A$11:$BN$18,MATCH(Summary!U$1,'RA9-Codisposal Upper'!$A$9:$BN$9,1),FALSE),0)+IFERROR(VLOOKUP($B13,'RA10-Codisposal Slopes'!$A$11:$BN$18,MATCH(Summary!U$1,'RA10-Codisposal Slopes'!$A$9:$BN$9,1),FALSE),0)+IFERROR(VLOOKUP($B13,'IA1-Final Void inc Ramps'!$A$11:$BN$18,MATCH(Summary!U$1,'IA1-Final Void inc Ramps'!$A$9:$BN$9,1),FALSE),0)</f>
        <v>0</v>
      </c>
      <c r="V13" s="47">
        <f>IFERROR(VLOOKUP($B13,'RA1- Elevated Dumps Upper'!$A$11:$BN$18,MATCH(Summary!V$1,'RA1- Elevated Dumps Upper'!$A$9:$BN$9,1),FALSE),0)+IFERROR(VLOOKUP($B13,'RA2-Elevated Dumps Slopes'!$A$11:$BN$18,MATCH(Summary!V$1,'RA2-Elevated Dumps Slopes'!$A$9:$BN$9,1),FALSE),0)+IFERROR(VLOOKUP($B13,'RA3-Backfilled Pits'!$A$11:$BN$18,MATCH(Summary!V$1,'RA3-Backfilled Pits'!$A$9:$BN$9,1),FALSE),0)+IFERROR(VLOOKUP($B13,'RA4-Tracks_Roads'!$A$11:$BN$18,MATCH(Summary!V$1,'RA4-Tracks_Roads'!$A$9:$BN$9,1),FALSE),0)+IFERROR(VLOOKUP($B13,'RA5-ROM'!$A$11:$BN$18,MATCH(Summary!V$1,'RA5-ROM'!$A$9:$BN$9,1),FALSE),0)+IFERROR(VLOOKUP($B13,'RA6-CHPP'!$A$11:$BN$18,MATCH(Summary!V$1,'RA6-CHPP'!$A$9:$BN$9,1),FALSE),0)+IFERROR(VLOOKUP($B13,'RA7-Mine Infrastructure Area'!$A$11:$BN$18,MATCH(Summary!V$1,'RA7-Mine Infrastructure Area'!$A$9:$BN$9,1),FALSE),0)+IFERROR(VLOOKUP($B13,'RA8-Water Management Structures'!$A$11:$BN$18,MATCH(Summary!V$1,'RA8-Water Management Structures'!$A$9:$BN$9,1),FALSE),0)+IFERROR(VLOOKUP($B13,'RA9-Codisposal Upper'!$A$11:$BN$18,MATCH(Summary!V$1,'RA9-Codisposal Upper'!$A$9:$BN$9,1),FALSE),0)+IFERROR(VLOOKUP($B13,'RA10-Codisposal Slopes'!$A$11:$BN$18,MATCH(Summary!V$1,'RA10-Codisposal Slopes'!$A$9:$BN$9,1),FALSE),0)+IFERROR(VLOOKUP($B13,'IA1-Final Void inc Ramps'!$A$11:$BN$18,MATCH(Summary!V$1,'IA1-Final Void inc Ramps'!$A$9:$BN$9,1),FALSE),0)</f>
        <v>0</v>
      </c>
      <c r="W13" s="47">
        <f>IFERROR(VLOOKUP($B13,'RA1- Elevated Dumps Upper'!$A$11:$BN$18,MATCH(Summary!W$1,'RA1- Elevated Dumps Upper'!$A$9:$BN$9,1),FALSE),0)+IFERROR(VLOOKUP($B13,'RA2-Elevated Dumps Slopes'!$A$11:$BN$18,MATCH(Summary!W$1,'RA2-Elevated Dumps Slopes'!$A$9:$BN$9,1),FALSE),0)+IFERROR(VLOOKUP($B13,'RA3-Backfilled Pits'!$A$11:$BN$18,MATCH(Summary!W$1,'RA3-Backfilled Pits'!$A$9:$BN$9,1),FALSE),0)+IFERROR(VLOOKUP($B13,'RA4-Tracks_Roads'!$A$11:$BN$18,MATCH(Summary!W$1,'RA4-Tracks_Roads'!$A$9:$BN$9,1),FALSE),0)+IFERROR(VLOOKUP($B13,'RA5-ROM'!$A$11:$BN$18,MATCH(Summary!W$1,'RA5-ROM'!$A$9:$BN$9,1),FALSE),0)+IFERROR(VLOOKUP($B13,'RA6-CHPP'!$A$11:$BN$18,MATCH(Summary!W$1,'RA6-CHPP'!$A$9:$BN$9,1),FALSE),0)+IFERROR(VLOOKUP($B13,'RA7-Mine Infrastructure Area'!$A$11:$BN$18,MATCH(Summary!W$1,'RA7-Mine Infrastructure Area'!$A$9:$BN$9,1),FALSE),0)+IFERROR(VLOOKUP($B13,'RA8-Water Management Structures'!$A$11:$BN$18,MATCH(Summary!W$1,'RA8-Water Management Structures'!$A$9:$BN$9,1),FALSE),0)+IFERROR(VLOOKUP($B13,'RA9-Codisposal Upper'!$A$11:$BN$18,MATCH(Summary!W$1,'RA9-Codisposal Upper'!$A$9:$BN$9,1),FALSE),0)+IFERROR(VLOOKUP($B13,'RA10-Codisposal Slopes'!$A$11:$BN$18,MATCH(Summary!W$1,'RA10-Codisposal Slopes'!$A$9:$BN$9,1),FALSE),0)+IFERROR(VLOOKUP($B13,'IA1-Final Void inc Ramps'!$A$11:$BN$18,MATCH(Summary!W$1,'IA1-Final Void inc Ramps'!$A$9:$BN$9,1),FALSE),0)</f>
        <v>0</v>
      </c>
      <c r="X13" s="47">
        <f>IFERROR(VLOOKUP($B13,'RA1- Elevated Dumps Upper'!$A$11:$BN$18,MATCH(Summary!X$1,'RA1- Elevated Dumps Upper'!$A$9:$BN$9,1),FALSE),0)+IFERROR(VLOOKUP($B13,'RA2-Elevated Dumps Slopes'!$A$11:$BN$18,MATCH(Summary!X$1,'RA2-Elevated Dumps Slopes'!$A$9:$BN$9,1),FALSE),0)+IFERROR(VLOOKUP($B13,'RA3-Backfilled Pits'!$A$11:$BN$18,MATCH(Summary!X$1,'RA3-Backfilled Pits'!$A$9:$BN$9,1),FALSE),0)+IFERROR(VLOOKUP($B13,'RA4-Tracks_Roads'!$A$11:$BN$18,MATCH(Summary!X$1,'RA4-Tracks_Roads'!$A$9:$BN$9,1),FALSE),0)+IFERROR(VLOOKUP($B13,'RA5-ROM'!$A$11:$BN$18,MATCH(Summary!X$1,'RA5-ROM'!$A$9:$BN$9,1),FALSE),0)+IFERROR(VLOOKUP($B13,'RA6-CHPP'!$A$11:$BN$18,MATCH(Summary!X$1,'RA6-CHPP'!$A$9:$BN$9,1),FALSE),0)+IFERROR(VLOOKUP($B13,'RA7-Mine Infrastructure Area'!$A$11:$BN$18,MATCH(Summary!X$1,'RA7-Mine Infrastructure Area'!$A$9:$BN$9,1),FALSE),0)+IFERROR(VLOOKUP($B13,'RA8-Water Management Structures'!$A$11:$BN$18,MATCH(Summary!X$1,'RA8-Water Management Structures'!$A$9:$BN$9,1),FALSE),0)+IFERROR(VLOOKUP($B13,'RA9-Codisposal Upper'!$A$11:$BN$18,MATCH(Summary!X$1,'RA9-Codisposal Upper'!$A$9:$BN$9,1),FALSE),0)+IFERROR(VLOOKUP($B13,'RA10-Codisposal Slopes'!$A$11:$BN$18,MATCH(Summary!X$1,'RA10-Codisposal Slopes'!$A$9:$BN$9,1),FALSE),0)+IFERROR(VLOOKUP($B13,'IA1-Final Void inc Ramps'!$A$11:$BN$18,MATCH(Summary!X$1,'IA1-Final Void inc Ramps'!$A$9:$BN$9,1),FALSE),0)</f>
        <v>0</v>
      </c>
      <c r="Y13" s="47">
        <f>IFERROR(VLOOKUP($B13,'RA1- Elevated Dumps Upper'!$A$11:$BN$18,MATCH(Summary!Y$1,'RA1- Elevated Dumps Upper'!$A$9:$BN$9,1),FALSE),0)+IFERROR(VLOOKUP($B13,'RA2-Elevated Dumps Slopes'!$A$11:$BN$18,MATCH(Summary!Y$1,'RA2-Elevated Dumps Slopes'!$A$9:$BN$9,1),FALSE),0)+IFERROR(VLOOKUP($B13,'RA3-Backfilled Pits'!$A$11:$BN$18,MATCH(Summary!Y$1,'RA3-Backfilled Pits'!$A$9:$BN$9,1),FALSE),0)+IFERROR(VLOOKUP($B13,'RA4-Tracks_Roads'!$A$11:$BN$18,MATCH(Summary!Y$1,'RA4-Tracks_Roads'!$A$9:$BN$9,1),FALSE),0)+IFERROR(VLOOKUP($B13,'RA5-ROM'!$A$11:$BN$18,MATCH(Summary!Y$1,'RA5-ROM'!$A$9:$BN$9,1),FALSE),0)+IFERROR(VLOOKUP($B13,'RA6-CHPP'!$A$11:$BN$18,MATCH(Summary!Y$1,'RA6-CHPP'!$A$9:$BN$9,1),FALSE),0)+IFERROR(VLOOKUP($B13,'RA7-Mine Infrastructure Area'!$A$11:$BN$18,MATCH(Summary!Y$1,'RA7-Mine Infrastructure Area'!$A$9:$BN$9,1),FALSE),0)+IFERROR(VLOOKUP($B13,'RA8-Water Management Structures'!$A$11:$BN$18,MATCH(Summary!Y$1,'RA8-Water Management Structures'!$A$9:$BN$9,1),FALSE),0)+IFERROR(VLOOKUP($B13,'RA9-Codisposal Upper'!$A$11:$BN$18,MATCH(Summary!Y$1,'RA9-Codisposal Upper'!$A$9:$BN$9,1),FALSE),0)+IFERROR(VLOOKUP($B13,'RA10-Codisposal Slopes'!$A$11:$BN$18,MATCH(Summary!Y$1,'RA10-Codisposal Slopes'!$A$9:$BN$9,1),FALSE),0)+IFERROR(VLOOKUP($B13,'IA1-Final Void inc Ramps'!$A$11:$BN$18,MATCH(Summary!Y$1,'IA1-Final Void inc Ramps'!$A$9:$BN$9,1),FALSE),0)</f>
        <v>0</v>
      </c>
      <c r="Z13" s="47">
        <f>IFERROR(VLOOKUP($B13,'RA1- Elevated Dumps Upper'!$A$11:$BN$18,MATCH(Summary!Z$1,'RA1- Elevated Dumps Upper'!$A$9:$BN$9,1),FALSE),0)+IFERROR(VLOOKUP($B13,'RA2-Elevated Dumps Slopes'!$A$11:$BN$18,MATCH(Summary!Z$1,'RA2-Elevated Dumps Slopes'!$A$9:$BN$9,1),FALSE),0)+IFERROR(VLOOKUP($B13,'RA3-Backfilled Pits'!$A$11:$BN$18,MATCH(Summary!Z$1,'RA3-Backfilled Pits'!$A$9:$BN$9,1),FALSE),0)+IFERROR(VLOOKUP($B13,'RA4-Tracks_Roads'!$A$11:$BN$18,MATCH(Summary!Z$1,'RA4-Tracks_Roads'!$A$9:$BN$9,1),FALSE),0)+IFERROR(VLOOKUP($B13,'RA5-ROM'!$A$11:$BN$18,MATCH(Summary!Z$1,'RA5-ROM'!$A$9:$BN$9,1),FALSE),0)+IFERROR(VLOOKUP($B13,'RA6-CHPP'!$A$11:$BN$18,MATCH(Summary!Z$1,'RA6-CHPP'!$A$9:$BN$9,1),FALSE),0)+IFERROR(VLOOKUP($B13,'RA7-Mine Infrastructure Area'!$A$11:$BN$18,MATCH(Summary!Z$1,'RA7-Mine Infrastructure Area'!$A$9:$BN$9,1),FALSE),0)+IFERROR(VLOOKUP($B13,'RA8-Water Management Structures'!$A$11:$BN$18,MATCH(Summary!Z$1,'RA8-Water Management Structures'!$A$9:$BN$9,1),FALSE),0)+IFERROR(VLOOKUP($B13,'RA9-Codisposal Upper'!$A$11:$BN$18,MATCH(Summary!Z$1,'RA9-Codisposal Upper'!$A$9:$BN$9,1),FALSE),0)+IFERROR(VLOOKUP($B13,'RA10-Codisposal Slopes'!$A$11:$BN$18,MATCH(Summary!Z$1,'RA10-Codisposal Slopes'!$A$9:$BN$9,1),FALSE),0)+IFERROR(VLOOKUP($B13,'IA1-Final Void inc Ramps'!$A$11:$BN$18,MATCH(Summary!Z$1,'IA1-Final Void inc Ramps'!$A$9:$BN$9,1),FALSE),0)</f>
        <v>0</v>
      </c>
      <c r="AA13" s="47">
        <f>IFERROR(VLOOKUP($B13,'RA1- Elevated Dumps Upper'!$A$11:$BN$18,MATCH(Summary!AA$1,'RA1- Elevated Dumps Upper'!$A$9:$BN$9,1),FALSE),0)+IFERROR(VLOOKUP($B13,'RA2-Elevated Dumps Slopes'!$A$11:$BN$18,MATCH(Summary!AA$1,'RA2-Elevated Dumps Slopes'!$A$9:$BN$9,1),FALSE),0)+IFERROR(VLOOKUP($B13,'RA3-Backfilled Pits'!$A$11:$BN$18,MATCH(Summary!AA$1,'RA3-Backfilled Pits'!$A$9:$BN$9,1),FALSE),0)+IFERROR(VLOOKUP($B13,'RA4-Tracks_Roads'!$A$11:$BN$18,MATCH(Summary!AA$1,'RA4-Tracks_Roads'!$A$9:$BN$9,1),FALSE),0)+IFERROR(VLOOKUP($B13,'RA5-ROM'!$A$11:$BN$18,MATCH(Summary!AA$1,'RA5-ROM'!$A$9:$BN$9,1),FALSE),0)+IFERROR(VLOOKUP($B13,'RA6-CHPP'!$A$11:$BN$18,MATCH(Summary!AA$1,'RA6-CHPP'!$A$9:$BN$9,1),FALSE),0)+IFERROR(VLOOKUP($B13,'RA7-Mine Infrastructure Area'!$A$11:$BN$18,MATCH(Summary!AA$1,'RA7-Mine Infrastructure Area'!$A$9:$BN$9,1),FALSE),0)+IFERROR(VLOOKUP($B13,'RA8-Water Management Structures'!$A$11:$BN$18,MATCH(Summary!AA$1,'RA8-Water Management Structures'!$A$9:$BN$9,1),FALSE),0)+IFERROR(VLOOKUP($B13,'RA9-Codisposal Upper'!$A$11:$BN$18,MATCH(Summary!AA$1,'RA9-Codisposal Upper'!$A$9:$BN$9,1),FALSE),0)+IFERROR(VLOOKUP($B13,'RA10-Codisposal Slopes'!$A$11:$BN$18,MATCH(Summary!AA$1,'RA10-Codisposal Slopes'!$A$9:$BN$9,1),FALSE),0)+IFERROR(VLOOKUP($B13,'IA1-Final Void inc Ramps'!$A$11:$BN$18,MATCH(Summary!AA$1,'IA1-Final Void inc Ramps'!$A$9:$BN$9,1),FALSE),0)</f>
        <v>0</v>
      </c>
      <c r="AB13" s="47">
        <f>IFERROR(VLOOKUP($B13,'RA1- Elevated Dumps Upper'!$A$11:$BN$18,MATCH(Summary!AB$1,'RA1- Elevated Dumps Upper'!$A$9:$BN$9,1),FALSE),0)+IFERROR(VLOOKUP($B13,'RA2-Elevated Dumps Slopes'!$A$11:$BN$18,MATCH(Summary!AB$1,'RA2-Elevated Dumps Slopes'!$A$9:$BN$9,1),FALSE),0)+IFERROR(VLOOKUP($B13,'RA3-Backfilled Pits'!$A$11:$BN$18,MATCH(Summary!AB$1,'RA3-Backfilled Pits'!$A$9:$BN$9,1),FALSE),0)+IFERROR(VLOOKUP($B13,'RA4-Tracks_Roads'!$A$11:$BN$18,MATCH(Summary!AB$1,'RA4-Tracks_Roads'!$A$9:$BN$9,1),FALSE),0)+IFERROR(VLOOKUP($B13,'RA5-ROM'!$A$11:$BN$18,MATCH(Summary!AB$1,'RA5-ROM'!$A$9:$BN$9,1),FALSE),0)+IFERROR(VLOOKUP($B13,'RA6-CHPP'!$A$11:$BN$18,MATCH(Summary!AB$1,'RA6-CHPP'!$A$9:$BN$9,1),FALSE),0)+IFERROR(VLOOKUP($B13,'RA7-Mine Infrastructure Area'!$A$11:$BN$18,MATCH(Summary!AB$1,'RA7-Mine Infrastructure Area'!$A$9:$BN$9,1),FALSE),0)+IFERROR(VLOOKUP($B13,'RA8-Water Management Structures'!$A$11:$BN$18,MATCH(Summary!AB$1,'RA8-Water Management Structures'!$A$9:$BN$9,1),FALSE),0)+IFERROR(VLOOKUP($B13,'RA9-Codisposal Upper'!$A$11:$BN$18,MATCH(Summary!AB$1,'RA9-Codisposal Upper'!$A$9:$BN$9,1),FALSE),0)+IFERROR(VLOOKUP($B13,'RA10-Codisposal Slopes'!$A$11:$BN$18,MATCH(Summary!AB$1,'RA10-Codisposal Slopes'!$A$9:$BN$9,1),FALSE),0)+IFERROR(VLOOKUP($B13,'IA1-Final Void inc Ramps'!$A$11:$BN$18,MATCH(Summary!AB$1,'IA1-Final Void inc Ramps'!$A$9:$BN$9,1),FALSE),0)</f>
        <v>0</v>
      </c>
      <c r="AC13" s="47">
        <f>IFERROR(VLOOKUP($B13,'RA1- Elevated Dumps Upper'!$A$11:$BN$18,MATCH(Summary!AC$1,'RA1- Elevated Dumps Upper'!$A$9:$BN$9,1),FALSE),0)+IFERROR(VLOOKUP($B13,'RA2-Elevated Dumps Slopes'!$A$11:$BN$18,MATCH(Summary!AC$1,'RA2-Elevated Dumps Slopes'!$A$9:$BN$9,1),FALSE),0)+IFERROR(VLOOKUP($B13,'RA3-Backfilled Pits'!$A$11:$BN$18,MATCH(Summary!AC$1,'RA3-Backfilled Pits'!$A$9:$BN$9,1),FALSE),0)+IFERROR(VLOOKUP($B13,'RA4-Tracks_Roads'!$A$11:$BN$18,MATCH(Summary!AC$1,'RA4-Tracks_Roads'!$A$9:$BN$9,1),FALSE),0)+IFERROR(VLOOKUP($B13,'RA5-ROM'!$A$11:$BN$18,MATCH(Summary!AC$1,'RA5-ROM'!$A$9:$BN$9,1),FALSE),0)+IFERROR(VLOOKUP($B13,'RA6-CHPP'!$A$11:$BN$18,MATCH(Summary!AC$1,'RA6-CHPP'!$A$9:$BN$9,1),FALSE),0)+IFERROR(VLOOKUP($B13,'RA7-Mine Infrastructure Area'!$A$11:$BN$18,MATCH(Summary!AC$1,'RA7-Mine Infrastructure Area'!$A$9:$BN$9,1),FALSE),0)+IFERROR(VLOOKUP($B13,'RA8-Water Management Structures'!$A$11:$BN$18,MATCH(Summary!AC$1,'RA8-Water Management Structures'!$A$9:$BN$9,1),FALSE),0)+IFERROR(VLOOKUP($B13,'RA9-Codisposal Upper'!$A$11:$BN$18,MATCH(Summary!AC$1,'RA9-Codisposal Upper'!$A$9:$BN$9,1),FALSE),0)+IFERROR(VLOOKUP($B13,'RA10-Codisposal Slopes'!$A$11:$BN$18,MATCH(Summary!AC$1,'RA10-Codisposal Slopes'!$A$9:$BN$9,1),FALSE),0)+IFERROR(VLOOKUP($B13,'IA1-Final Void inc Ramps'!$A$11:$BN$18,MATCH(Summary!AC$1,'IA1-Final Void inc Ramps'!$A$9:$BN$9,1),FALSE),0)</f>
        <v>72.989999999999995</v>
      </c>
      <c r="AD13" s="47">
        <f>IFERROR(VLOOKUP($B13,'RA1- Elevated Dumps Upper'!$A$11:$BN$18,MATCH(Summary!AD$1,'RA1- Elevated Dumps Upper'!$A$9:$BN$9,1),FALSE),0)+IFERROR(VLOOKUP($B13,'RA2-Elevated Dumps Slopes'!$A$11:$BN$18,MATCH(Summary!AD$1,'RA2-Elevated Dumps Slopes'!$A$9:$BN$9,1),FALSE),0)+IFERROR(VLOOKUP($B13,'RA3-Backfilled Pits'!$A$11:$BN$18,MATCH(Summary!AD$1,'RA3-Backfilled Pits'!$A$9:$BN$9,1),FALSE),0)+IFERROR(VLOOKUP($B13,'RA4-Tracks_Roads'!$A$11:$BN$18,MATCH(Summary!AD$1,'RA4-Tracks_Roads'!$A$9:$BN$9,1),FALSE),0)+IFERROR(VLOOKUP($B13,'RA5-ROM'!$A$11:$BN$18,MATCH(Summary!AD$1,'RA5-ROM'!$A$9:$BN$9,1),FALSE),0)+IFERROR(VLOOKUP($B13,'RA6-CHPP'!$A$11:$BN$18,MATCH(Summary!AD$1,'RA6-CHPP'!$A$9:$BN$9,1),FALSE),0)+IFERROR(VLOOKUP($B13,'RA7-Mine Infrastructure Area'!$A$11:$BN$18,MATCH(Summary!AD$1,'RA7-Mine Infrastructure Area'!$A$9:$BN$9,1),FALSE),0)+IFERROR(VLOOKUP($B13,'RA8-Water Management Structures'!$A$11:$BN$18,MATCH(Summary!AD$1,'RA8-Water Management Structures'!$A$9:$BN$9,1),FALSE),0)+IFERROR(VLOOKUP($B13,'RA9-Codisposal Upper'!$A$11:$BN$18,MATCH(Summary!AD$1,'RA9-Codisposal Upper'!$A$9:$BN$9,1),FALSE),0)+IFERROR(VLOOKUP($B13,'RA10-Codisposal Slopes'!$A$11:$BN$18,MATCH(Summary!AD$1,'RA10-Codisposal Slopes'!$A$9:$BN$9,1),FALSE),0)+IFERROR(VLOOKUP($B13,'IA1-Final Void inc Ramps'!$A$11:$BN$18,MATCH(Summary!AD$1,'IA1-Final Void inc Ramps'!$A$9:$BN$9,1),FALSE),0)</f>
        <v>72.989999999999995</v>
      </c>
      <c r="AE13" s="47">
        <f>IFERROR(VLOOKUP($B13,'RA1- Elevated Dumps Upper'!$A$11:$BN$18,MATCH(Summary!AE$1,'RA1- Elevated Dumps Upper'!$A$9:$BN$9,1),FALSE),0)+IFERROR(VLOOKUP($B13,'RA2-Elevated Dumps Slopes'!$A$11:$BN$18,MATCH(Summary!AE$1,'RA2-Elevated Dumps Slopes'!$A$9:$BN$9,1),FALSE),0)+IFERROR(VLOOKUP($B13,'RA3-Backfilled Pits'!$A$11:$BN$18,MATCH(Summary!AE$1,'RA3-Backfilled Pits'!$A$9:$BN$9,1),FALSE),0)+IFERROR(VLOOKUP($B13,'RA4-Tracks_Roads'!$A$11:$BN$18,MATCH(Summary!AE$1,'RA4-Tracks_Roads'!$A$9:$BN$9,1),FALSE),0)+IFERROR(VLOOKUP($B13,'RA5-ROM'!$A$11:$BN$18,MATCH(Summary!AE$1,'RA5-ROM'!$A$9:$BN$9,1),FALSE),0)+IFERROR(VLOOKUP($B13,'RA6-CHPP'!$A$11:$BN$18,MATCH(Summary!AE$1,'RA6-CHPP'!$A$9:$BN$9,1),FALSE),0)+IFERROR(VLOOKUP($B13,'RA7-Mine Infrastructure Area'!$A$11:$BN$18,MATCH(Summary!AE$1,'RA7-Mine Infrastructure Area'!$A$9:$BN$9,1),FALSE),0)+IFERROR(VLOOKUP($B13,'RA8-Water Management Structures'!$A$11:$BN$18,MATCH(Summary!AE$1,'RA8-Water Management Structures'!$A$9:$BN$9,1),FALSE),0)+IFERROR(VLOOKUP($B13,'RA9-Codisposal Upper'!$A$11:$BN$18,MATCH(Summary!AE$1,'RA9-Codisposal Upper'!$A$9:$BN$9,1),FALSE),0)+IFERROR(VLOOKUP($B13,'RA10-Codisposal Slopes'!$A$11:$BN$18,MATCH(Summary!AE$1,'RA10-Codisposal Slopes'!$A$9:$BN$9,1),FALSE),0)+IFERROR(VLOOKUP($B13,'IA1-Final Void inc Ramps'!$A$11:$BN$18,MATCH(Summary!AE$1,'IA1-Final Void inc Ramps'!$A$9:$BN$9,1),FALSE),0)</f>
        <v>156.613</v>
      </c>
      <c r="AF13" s="47">
        <f>IFERROR(VLOOKUP($B13,'RA1- Elevated Dumps Upper'!$A$11:$BN$18,MATCH(Summary!AF$1,'RA1- Elevated Dumps Upper'!$A$9:$BN$9,1),FALSE),0)+IFERROR(VLOOKUP($B13,'RA2-Elevated Dumps Slopes'!$A$11:$BN$18,MATCH(Summary!AF$1,'RA2-Elevated Dumps Slopes'!$A$9:$BN$9,1),FALSE),0)+IFERROR(VLOOKUP($B13,'RA3-Backfilled Pits'!$A$11:$BN$18,MATCH(Summary!AF$1,'RA3-Backfilled Pits'!$A$9:$BN$9,1),FALSE),0)+IFERROR(VLOOKUP($B13,'RA4-Tracks_Roads'!$A$11:$BN$18,MATCH(Summary!AF$1,'RA4-Tracks_Roads'!$A$9:$BN$9,1),FALSE),0)+IFERROR(VLOOKUP($B13,'RA5-ROM'!$A$11:$BN$18,MATCH(Summary!AF$1,'RA5-ROM'!$A$9:$BN$9,1),FALSE),0)+IFERROR(VLOOKUP($B13,'RA6-CHPP'!$A$11:$BN$18,MATCH(Summary!AF$1,'RA6-CHPP'!$A$9:$BN$9,1),FALSE),0)+IFERROR(VLOOKUP($B13,'RA7-Mine Infrastructure Area'!$A$11:$BN$18,MATCH(Summary!AF$1,'RA7-Mine Infrastructure Area'!$A$9:$BN$9,1),FALSE),0)+IFERROR(VLOOKUP($B13,'RA8-Water Management Structures'!$A$11:$BN$18,MATCH(Summary!AF$1,'RA8-Water Management Structures'!$A$9:$BN$9,1),FALSE),0)+IFERROR(VLOOKUP($B13,'RA9-Codisposal Upper'!$A$11:$BN$18,MATCH(Summary!AF$1,'RA9-Codisposal Upper'!$A$9:$BN$9,1),FALSE),0)+IFERROR(VLOOKUP($B13,'RA10-Codisposal Slopes'!$A$11:$BN$18,MATCH(Summary!AF$1,'RA10-Codisposal Slopes'!$A$9:$BN$9,1),FALSE),0)+IFERROR(VLOOKUP($B13,'IA1-Final Void inc Ramps'!$A$11:$BN$18,MATCH(Summary!AF$1,'IA1-Final Void inc Ramps'!$A$9:$BN$9,1),FALSE),0)</f>
        <v>180.71300000000002</v>
      </c>
      <c r="AG13" s="47">
        <f>IFERROR(VLOOKUP($B13,'RA1- Elevated Dumps Upper'!$A$11:$BN$18,MATCH(Summary!AG$1,'RA1- Elevated Dumps Upper'!$A$9:$BN$9,1),FALSE),0)+IFERROR(VLOOKUP($B13,'RA2-Elevated Dumps Slopes'!$A$11:$BN$18,MATCH(Summary!AG$1,'RA2-Elevated Dumps Slopes'!$A$9:$BN$9,1),FALSE),0)+IFERROR(VLOOKUP($B13,'RA3-Backfilled Pits'!$A$11:$BN$18,MATCH(Summary!AG$1,'RA3-Backfilled Pits'!$A$9:$BN$9,1),FALSE),0)+IFERROR(VLOOKUP($B13,'RA4-Tracks_Roads'!$A$11:$BN$18,MATCH(Summary!AG$1,'RA4-Tracks_Roads'!$A$9:$BN$9,1),FALSE),0)+IFERROR(VLOOKUP($B13,'RA5-ROM'!$A$11:$BN$18,MATCH(Summary!AG$1,'RA5-ROM'!$A$9:$BN$9,1),FALSE),0)+IFERROR(VLOOKUP($B13,'RA6-CHPP'!$A$11:$BN$18,MATCH(Summary!AG$1,'RA6-CHPP'!$A$9:$BN$9,1),FALSE),0)+IFERROR(VLOOKUP($B13,'RA7-Mine Infrastructure Area'!$A$11:$BN$18,MATCH(Summary!AG$1,'RA7-Mine Infrastructure Area'!$A$9:$BN$9,1),FALSE),0)+IFERROR(VLOOKUP($B13,'RA8-Water Management Structures'!$A$11:$BN$18,MATCH(Summary!AG$1,'RA8-Water Management Structures'!$A$9:$BN$9,1),FALSE),0)+IFERROR(VLOOKUP($B13,'RA9-Codisposal Upper'!$A$11:$BN$18,MATCH(Summary!AG$1,'RA9-Codisposal Upper'!$A$9:$BN$9,1),FALSE),0)+IFERROR(VLOOKUP($B13,'RA10-Codisposal Slopes'!$A$11:$BN$18,MATCH(Summary!AG$1,'RA10-Codisposal Slopes'!$A$9:$BN$9,1),FALSE),0)+IFERROR(VLOOKUP($B13,'IA1-Final Void inc Ramps'!$A$11:$BN$18,MATCH(Summary!AG$1,'IA1-Final Void inc Ramps'!$A$9:$BN$9,1),FALSE),0)</f>
        <v>525.83100000000002</v>
      </c>
      <c r="AH13" s="47">
        <f>IFERROR(VLOOKUP($B13,'RA1- Elevated Dumps Upper'!$A$11:$BN$18,MATCH(Summary!AH$1,'RA1- Elevated Dumps Upper'!$A$9:$BN$9,1),FALSE),0)+IFERROR(VLOOKUP($B13,'RA2-Elevated Dumps Slopes'!$A$11:$BN$18,MATCH(Summary!AH$1,'RA2-Elevated Dumps Slopes'!$A$9:$BN$9,1),FALSE),0)+IFERROR(VLOOKUP($B13,'RA3-Backfilled Pits'!$A$11:$BN$18,MATCH(Summary!AH$1,'RA3-Backfilled Pits'!$A$9:$BN$9,1),FALSE),0)+IFERROR(VLOOKUP($B13,'RA4-Tracks_Roads'!$A$11:$BN$18,MATCH(Summary!AH$1,'RA4-Tracks_Roads'!$A$9:$BN$9,1),FALSE),0)+IFERROR(VLOOKUP($B13,'RA5-ROM'!$A$11:$BN$18,MATCH(Summary!AH$1,'RA5-ROM'!$A$9:$BN$9,1),FALSE),0)+IFERROR(VLOOKUP($B13,'RA6-CHPP'!$A$11:$BN$18,MATCH(Summary!AH$1,'RA6-CHPP'!$A$9:$BN$9,1),FALSE),0)+IFERROR(VLOOKUP($B13,'RA7-Mine Infrastructure Area'!$A$11:$BN$18,MATCH(Summary!AH$1,'RA7-Mine Infrastructure Area'!$A$9:$BN$9,1),FALSE),0)+IFERROR(VLOOKUP($B13,'RA8-Water Management Structures'!$A$11:$BN$18,MATCH(Summary!AH$1,'RA8-Water Management Structures'!$A$9:$BN$9,1),FALSE),0)+IFERROR(VLOOKUP($B13,'RA9-Codisposal Upper'!$A$11:$BN$18,MATCH(Summary!AH$1,'RA9-Codisposal Upper'!$A$9:$BN$9,1),FALSE),0)+IFERROR(VLOOKUP($B13,'RA10-Codisposal Slopes'!$A$11:$BN$18,MATCH(Summary!AH$1,'RA10-Codisposal Slopes'!$A$9:$BN$9,1),FALSE),0)+IFERROR(VLOOKUP($B13,'IA1-Final Void inc Ramps'!$A$11:$BN$18,MATCH(Summary!AH$1,'IA1-Final Void inc Ramps'!$A$9:$BN$9,1),FALSE),0)</f>
        <v>542.60300000000007</v>
      </c>
      <c r="AI13" s="47">
        <f>IFERROR(VLOOKUP($B13,'RA1- Elevated Dumps Upper'!$A$11:$BN$18,MATCH(Summary!AI$1,'RA1- Elevated Dumps Upper'!$A$9:$BN$9,1),FALSE),0)+IFERROR(VLOOKUP($B13,'RA2-Elevated Dumps Slopes'!$A$11:$BN$18,MATCH(Summary!AI$1,'RA2-Elevated Dumps Slopes'!$A$9:$BN$9,1),FALSE),0)+IFERROR(VLOOKUP($B13,'RA3-Backfilled Pits'!$A$11:$BN$18,MATCH(Summary!AI$1,'RA3-Backfilled Pits'!$A$9:$BN$9,1),FALSE),0)+IFERROR(VLOOKUP($B13,'RA4-Tracks_Roads'!$A$11:$BN$18,MATCH(Summary!AI$1,'RA4-Tracks_Roads'!$A$9:$BN$9,1),FALSE),0)+IFERROR(VLOOKUP($B13,'RA5-ROM'!$A$11:$BN$18,MATCH(Summary!AI$1,'RA5-ROM'!$A$9:$BN$9,1),FALSE),0)+IFERROR(VLOOKUP($B13,'RA6-CHPP'!$A$11:$BN$18,MATCH(Summary!AI$1,'RA6-CHPP'!$A$9:$BN$9,1),FALSE),0)+IFERROR(VLOOKUP($B13,'RA7-Mine Infrastructure Area'!$A$11:$BN$18,MATCH(Summary!AI$1,'RA7-Mine Infrastructure Area'!$A$9:$BN$9,1),FALSE),0)+IFERROR(VLOOKUP($B13,'RA8-Water Management Structures'!$A$11:$BN$18,MATCH(Summary!AI$1,'RA8-Water Management Structures'!$A$9:$BN$9,1),FALSE),0)+IFERROR(VLOOKUP($B13,'RA9-Codisposal Upper'!$A$11:$BN$18,MATCH(Summary!AI$1,'RA9-Codisposal Upper'!$A$9:$BN$9,1),FALSE),0)+IFERROR(VLOOKUP($B13,'RA10-Codisposal Slopes'!$A$11:$BN$18,MATCH(Summary!AI$1,'RA10-Codisposal Slopes'!$A$9:$BN$9,1),FALSE),0)+IFERROR(VLOOKUP($B13,'IA1-Final Void inc Ramps'!$A$11:$BN$18,MATCH(Summary!AI$1,'IA1-Final Void inc Ramps'!$A$9:$BN$9,1),FALSE),0)</f>
        <v>635.20300000000009</v>
      </c>
      <c r="AJ13" s="47">
        <f>IFERROR(VLOOKUP($B13,'RA1- Elevated Dumps Upper'!$A$11:$BN$18,MATCH(Summary!AJ$1,'RA1- Elevated Dumps Upper'!$A$9:$BN$9,1),FALSE),0)+IFERROR(VLOOKUP($B13,'RA2-Elevated Dumps Slopes'!$A$11:$BN$18,MATCH(Summary!AJ$1,'RA2-Elevated Dumps Slopes'!$A$9:$BN$9,1),FALSE),0)+IFERROR(VLOOKUP($B13,'RA3-Backfilled Pits'!$A$11:$BN$18,MATCH(Summary!AJ$1,'RA3-Backfilled Pits'!$A$9:$BN$9,1),FALSE),0)+IFERROR(VLOOKUP($B13,'RA4-Tracks_Roads'!$A$11:$BN$18,MATCH(Summary!AJ$1,'RA4-Tracks_Roads'!$A$9:$BN$9,1),FALSE),0)+IFERROR(VLOOKUP($B13,'RA5-ROM'!$A$11:$BN$18,MATCH(Summary!AJ$1,'RA5-ROM'!$A$9:$BN$9,1),FALSE),0)+IFERROR(VLOOKUP($B13,'RA6-CHPP'!$A$11:$BN$18,MATCH(Summary!AJ$1,'RA6-CHPP'!$A$9:$BN$9,1),FALSE),0)+IFERROR(VLOOKUP($B13,'RA7-Mine Infrastructure Area'!$A$11:$BN$18,MATCH(Summary!AJ$1,'RA7-Mine Infrastructure Area'!$A$9:$BN$9,1),FALSE),0)+IFERROR(VLOOKUP($B13,'RA8-Water Management Structures'!$A$11:$BN$18,MATCH(Summary!AJ$1,'RA8-Water Management Structures'!$A$9:$BN$9,1),FALSE),0)+IFERROR(VLOOKUP($B13,'RA9-Codisposal Upper'!$A$11:$BN$18,MATCH(Summary!AJ$1,'RA9-Codisposal Upper'!$A$9:$BN$9,1),FALSE),0)+IFERROR(VLOOKUP($B13,'RA10-Codisposal Slopes'!$A$11:$BN$18,MATCH(Summary!AJ$1,'RA10-Codisposal Slopes'!$A$9:$BN$9,1),FALSE),0)+IFERROR(VLOOKUP($B13,'IA1-Final Void inc Ramps'!$A$11:$BN$18,MATCH(Summary!AJ$1,'IA1-Final Void inc Ramps'!$A$9:$BN$9,1),FALSE),0)</f>
        <v>635.20300000000009</v>
      </c>
      <c r="AK13" s="47">
        <f>IFERROR(VLOOKUP($B13,'RA1- Elevated Dumps Upper'!$A$11:$BN$18,MATCH(Summary!AK$1,'RA1- Elevated Dumps Upper'!$A$9:$BN$9,1),FALSE),0)+IFERROR(VLOOKUP($B13,'RA2-Elevated Dumps Slopes'!$A$11:$BN$18,MATCH(Summary!AK$1,'RA2-Elevated Dumps Slopes'!$A$9:$BN$9,1),FALSE),0)+IFERROR(VLOOKUP($B13,'RA3-Backfilled Pits'!$A$11:$BN$18,MATCH(Summary!AK$1,'RA3-Backfilled Pits'!$A$9:$BN$9,1),FALSE),0)+IFERROR(VLOOKUP($B13,'RA4-Tracks_Roads'!$A$11:$BN$18,MATCH(Summary!AK$1,'RA4-Tracks_Roads'!$A$9:$BN$9,1),FALSE),0)+IFERROR(VLOOKUP($B13,'RA5-ROM'!$A$11:$BN$18,MATCH(Summary!AK$1,'RA5-ROM'!$A$9:$BN$9,1),FALSE),0)+IFERROR(VLOOKUP($B13,'RA6-CHPP'!$A$11:$BN$18,MATCH(Summary!AK$1,'RA6-CHPP'!$A$9:$BN$9,1),FALSE),0)+IFERROR(VLOOKUP($B13,'RA7-Mine Infrastructure Area'!$A$11:$BN$18,MATCH(Summary!AK$1,'RA7-Mine Infrastructure Area'!$A$9:$BN$9,1),FALSE),0)+IFERROR(VLOOKUP($B13,'RA8-Water Management Structures'!$A$11:$BN$18,MATCH(Summary!AK$1,'RA8-Water Management Structures'!$A$9:$BN$9,1),FALSE),0)+IFERROR(VLOOKUP($B13,'RA9-Codisposal Upper'!$A$11:$BN$18,MATCH(Summary!AK$1,'RA9-Codisposal Upper'!$A$9:$BN$9,1),FALSE),0)+IFERROR(VLOOKUP($B13,'RA10-Codisposal Slopes'!$A$11:$BN$18,MATCH(Summary!AK$1,'RA10-Codisposal Slopes'!$A$9:$BN$9,1),FALSE),0)+IFERROR(VLOOKUP($B13,'IA1-Final Void inc Ramps'!$A$11:$BN$18,MATCH(Summary!AK$1,'IA1-Final Void inc Ramps'!$A$9:$BN$9,1),FALSE),0)</f>
        <v>635.20300000000009</v>
      </c>
      <c r="AL13" s="47">
        <f>IFERROR(VLOOKUP($B13,'RA1- Elevated Dumps Upper'!$A$11:$BN$18,MATCH(Summary!AL$1,'RA1- Elevated Dumps Upper'!$A$9:$BN$9,1),FALSE),0)+IFERROR(VLOOKUP($B13,'RA2-Elevated Dumps Slopes'!$A$11:$BN$18,MATCH(Summary!AL$1,'RA2-Elevated Dumps Slopes'!$A$9:$BN$9,1),FALSE),0)+IFERROR(VLOOKUP($B13,'RA3-Backfilled Pits'!$A$11:$BN$18,MATCH(Summary!AL$1,'RA3-Backfilled Pits'!$A$9:$BN$9,1),FALSE),0)+IFERROR(VLOOKUP($B13,'RA4-Tracks_Roads'!$A$11:$BN$18,MATCH(Summary!AL$1,'RA4-Tracks_Roads'!$A$9:$BN$9,1),FALSE),0)+IFERROR(VLOOKUP($B13,'RA5-ROM'!$A$11:$BN$18,MATCH(Summary!AL$1,'RA5-ROM'!$A$9:$BN$9,1),FALSE),0)+IFERROR(VLOOKUP($B13,'RA6-CHPP'!$A$11:$BN$18,MATCH(Summary!AL$1,'RA6-CHPP'!$A$9:$BN$9,1),FALSE),0)+IFERROR(VLOOKUP($B13,'RA7-Mine Infrastructure Area'!$A$11:$BN$18,MATCH(Summary!AL$1,'RA7-Mine Infrastructure Area'!$A$9:$BN$9,1),FALSE),0)+IFERROR(VLOOKUP($B13,'RA8-Water Management Structures'!$A$11:$BN$18,MATCH(Summary!AL$1,'RA8-Water Management Structures'!$A$9:$BN$9,1),FALSE),0)+IFERROR(VLOOKUP($B13,'RA9-Codisposal Upper'!$A$11:$BN$18,MATCH(Summary!AL$1,'RA9-Codisposal Upper'!$A$9:$BN$9,1),FALSE),0)+IFERROR(VLOOKUP($B13,'RA10-Codisposal Slopes'!$A$11:$BN$18,MATCH(Summary!AL$1,'RA10-Codisposal Slopes'!$A$9:$BN$9,1),FALSE),0)+IFERROR(VLOOKUP($B13,'IA1-Final Void inc Ramps'!$A$11:$BN$18,MATCH(Summary!AL$1,'IA1-Final Void inc Ramps'!$A$9:$BN$9,1),FALSE),0)</f>
        <v>635.20300000000009</v>
      </c>
      <c r="AM13" s="47">
        <f>IFERROR(VLOOKUP($B13,'RA1- Elevated Dumps Upper'!$A$11:$BN$18,MATCH(Summary!AM$1,'RA1- Elevated Dumps Upper'!$A$9:$BN$9,1),FALSE),0)+IFERROR(VLOOKUP($B13,'RA2-Elevated Dumps Slopes'!$A$11:$BN$18,MATCH(Summary!AM$1,'RA2-Elevated Dumps Slopes'!$A$9:$BN$9,1),FALSE),0)+IFERROR(VLOOKUP($B13,'RA3-Backfilled Pits'!$A$11:$BN$18,MATCH(Summary!AM$1,'RA3-Backfilled Pits'!$A$9:$BN$9,1),FALSE),0)+IFERROR(VLOOKUP($B13,'RA4-Tracks_Roads'!$A$11:$BN$18,MATCH(Summary!AM$1,'RA4-Tracks_Roads'!$A$9:$BN$9,1),FALSE),0)+IFERROR(VLOOKUP($B13,'RA5-ROM'!$A$11:$BN$18,MATCH(Summary!AM$1,'RA5-ROM'!$A$9:$BN$9,1),FALSE),0)+IFERROR(VLOOKUP($B13,'RA6-CHPP'!$A$11:$BN$18,MATCH(Summary!AM$1,'RA6-CHPP'!$A$9:$BN$9,1),FALSE),0)+IFERROR(VLOOKUP($B13,'RA7-Mine Infrastructure Area'!$A$11:$BN$18,MATCH(Summary!AM$1,'RA7-Mine Infrastructure Area'!$A$9:$BN$9,1),FALSE),0)+IFERROR(VLOOKUP($B13,'RA8-Water Management Structures'!$A$11:$BN$18,MATCH(Summary!AM$1,'RA8-Water Management Structures'!$A$9:$BN$9,1),FALSE),0)+IFERROR(VLOOKUP($B13,'RA9-Codisposal Upper'!$A$11:$BN$18,MATCH(Summary!AM$1,'RA9-Codisposal Upper'!$A$9:$BN$9,1),FALSE),0)+IFERROR(VLOOKUP($B13,'RA10-Codisposal Slopes'!$A$11:$BN$18,MATCH(Summary!AM$1,'RA10-Codisposal Slopes'!$A$9:$BN$9,1),FALSE),0)+IFERROR(VLOOKUP($B13,'IA1-Final Void inc Ramps'!$A$11:$BN$18,MATCH(Summary!AM$1,'IA1-Final Void inc Ramps'!$A$9:$BN$9,1),FALSE),0)</f>
        <v>635.20300000000009</v>
      </c>
      <c r="AN13" s="47">
        <f>IFERROR(VLOOKUP($B13,'RA1- Elevated Dumps Upper'!$A$11:$BN$18,MATCH(Summary!AN$1,'RA1- Elevated Dumps Upper'!$A$9:$BN$9,1),FALSE),0)+IFERROR(VLOOKUP($B13,'RA2-Elevated Dumps Slopes'!$A$11:$BN$18,MATCH(Summary!AN$1,'RA2-Elevated Dumps Slopes'!$A$9:$BN$9,1),FALSE),0)+IFERROR(VLOOKUP($B13,'RA3-Backfilled Pits'!$A$11:$BN$18,MATCH(Summary!AN$1,'RA3-Backfilled Pits'!$A$9:$BN$9,1),FALSE),0)+IFERROR(VLOOKUP($B13,'RA4-Tracks_Roads'!$A$11:$BN$18,MATCH(Summary!AN$1,'RA4-Tracks_Roads'!$A$9:$BN$9,1),FALSE),0)+IFERROR(VLOOKUP($B13,'RA5-ROM'!$A$11:$BN$18,MATCH(Summary!AN$1,'RA5-ROM'!$A$9:$BN$9,1),FALSE),0)+IFERROR(VLOOKUP($B13,'RA6-CHPP'!$A$11:$BN$18,MATCH(Summary!AN$1,'RA6-CHPP'!$A$9:$BN$9,1),FALSE),0)+IFERROR(VLOOKUP($B13,'RA7-Mine Infrastructure Area'!$A$11:$BN$18,MATCH(Summary!AN$1,'RA7-Mine Infrastructure Area'!$A$9:$BN$9,1),FALSE),0)+IFERROR(VLOOKUP($B13,'RA8-Water Management Structures'!$A$11:$BN$18,MATCH(Summary!AN$1,'RA8-Water Management Structures'!$A$9:$BN$9,1),FALSE),0)+IFERROR(VLOOKUP($B13,'RA9-Codisposal Upper'!$A$11:$BN$18,MATCH(Summary!AN$1,'RA9-Codisposal Upper'!$A$9:$BN$9,1),FALSE),0)+IFERROR(VLOOKUP($B13,'RA10-Codisposal Slopes'!$A$11:$BN$18,MATCH(Summary!AN$1,'RA10-Codisposal Slopes'!$A$9:$BN$9,1),FALSE),0)+IFERROR(VLOOKUP($B13,'IA1-Final Void inc Ramps'!$A$11:$BN$18,MATCH(Summary!AN$1,'IA1-Final Void inc Ramps'!$A$9:$BN$9,1),FALSE),0)</f>
        <v>635.20300000000009</v>
      </c>
      <c r="AO13" s="47">
        <f>IFERROR(VLOOKUP($B13,'RA1- Elevated Dumps Upper'!$A$11:$BN$18,MATCH(Summary!AO$1,'RA1- Elevated Dumps Upper'!$A$9:$BN$9,1),FALSE),0)+IFERROR(VLOOKUP($B13,'RA2-Elevated Dumps Slopes'!$A$11:$BN$18,MATCH(Summary!AO$1,'RA2-Elevated Dumps Slopes'!$A$9:$BN$9,1),FALSE),0)+IFERROR(VLOOKUP($B13,'RA3-Backfilled Pits'!$A$11:$BN$18,MATCH(Summary!AO$1,'RA3-Backfilled Pits'!$A$9:$BN$9,1),FALSE),0)+IFERROR(VLOOKUP($B13,'RA4-Tracks_Roads'!$A$11:$BN$18,MATCH(Summary!AO$1,'RA4-Tracks_Roads'!$A$9:$BN$9,1),FALSE),0)+IFERROR(VLOOKUP($B13,'RA5-ROM'!$A$11:$BN$18,MATCH(Summary!AO$1,'RA5-ROM'!$A$9:$BN$9,1),FALSE),0)+IFERROR(VLOOKUP($B13,'RA6-CHPP'!$A$11:$BN$18,MATCH(Summary!AO$1,'RA6-CHPP'!$A$9:$BN$9,1),FALSE),0)+IFERROR(VLOOKUP($B13,'RA7-Mine Infrastructure Area'!$A$11:$BN$18,MATCH(Summary!AO$1,'RA7-Mine Infrastructure Area'!$A$9:$BN$9,1),FALSE),0)+IFERROR(VLOOKUP($B13,'RA8-Water Management Structures'!$A$11:$BN$18,MATCH(Summary!AO$1,'RA8-Water Management Structures'!$A$9:$BN$9,1),FALSE),0)+IFERROR(VLOOKUP($B13,'RA9-Codisposal Upper'!$A$11:$BN$18,MATCH(Summary!AO$1,'RA9-Codisposal Upper'!$A$9:$BN$9,1),FALSE),0)+IFERROR(VLOOKUP($B13,'RA10-Codisposal Slopes'!$A$11:$BN$18,MATCH(Summary!AO$1,'RA10-Codisposal Slopes'!$A$9:$BN$9,1),FALSE),0)+IFERROR(VLOOKUP($B13,'IA1-Final Void inc Ramps'!$A$11:$BN$18,MATCH(Summary!AO$1,'IA1-Final Void inc Ramps'!$A$9:$BN$9,1),FALSE),0)</f>
        <v>635.20300000000009</v>
      </c>
      <c r="AP13" s="47">
        <f>IFERROR(VLOOKUP($B13,'RA1- Elevated Dumps Upper'!$A$11:$BN$18,MATCH(Summary!AP$1,'RA1- Elevated Dumps Upper'!$A$9:$BN$9,1),FALSE),0)+IFERROR(VLOOKUP($B13,'RA2-Elevated Dumps Slopes'!$A$11:$BN$18,MATCH(Summary!AP$1,'RA2-Elevated Dumps Slopes'!$A$9:$BN$9,1),FALSE),0)+IFERROR(VLOOKUP($B13,'RA3-Backfilled Pits'!$A$11:$BN$18,MATCH(Summary!AP$1,'RA3-Backfilled Pits'!$A$9:$BN$9,1),FALSE),0)+IFERROR(VLOOKUP($B13,'RA4-Tracks_Roads'!$A$11:$BN$18,MATCH(Summary!AP$1,'RA4-Tracks_Roads'!$A$9:$BN$9,1),FALSE),0)+IFERROR(VLOOKUP($B13,'RA5-ROM'!$A$11:$BN$18,MATCH(Summary!AP$1,'RA5-ROM'!$A$9:$BN$9,1),FALSE),0)+IFERROR(VLOOKUP($B13,'RA6-CHPP'!$A$11:$BN$18,MATCH(Summary!AP$1,'RA6-CHPP'!$A$9:$BN$9,1),FALSE),0)+IFERROR(VLOOKUP($B13,'RA7-Mine Infrastructure Area'!$A$11:$BN$18,MATCH(Summary!AP$1,'RA7-Mine Infrastructure Area'!$A$9:$BN$9,1),FALSE),0)+IFERROR(VLOOKUP($B13,'RA8-Water Management Structures'!$A$11:$BN$18,MATCH(Summary!AP$1,'RA8-Water Management Structures'!$A$9:$BN$9,1),FALSE),0)+IFERROR(VLOOKUP($B13,'RA9-Codisposal Upper'!$A$11:$BN$18,MATCH(Summary!AP$1,'RA9-Codisposal Upper'!$A$9:$BN$9,1),FALSE),0)+IFERROR(VLOOKUP($B13,'RA10-Codisposal Slopes'!$A$11:$BN$18,MATCH(Summary!AP$1,'RA10-Codisposal Slopes'!$A$9:$BN$9,1),FALSE),0)+IFERROR(VLOOKUP($B13,'IA1-Final Void inc Ramps'!$A$11:$BN$18,MATCH(Summary!AP$1,'IA1-Final Void inc Ramps'!$A$9:$BN$9,1),FALSE),0)</f>
        <v>407.303</v>
      </c>
      <c r="AQ13" s="47">
        <f>IFERROR(VLOOKUP($B13,'RA1- Elevated Dumps Upper'!$A$11:$BN$18,MATCH(Summary!AQ$1,'RA1- Elevated Dumps Upper'!$A$9:$BN$9,1),FALSE),0)+IFERROR(VLOOKUP($B13,'RA2-Elevated Dumps Slopes'!$A$11:$BN$18,MATCH(Summary!AQ$1,'RA2-Elevated Dumps Slopes'!$A$9:$BN$9,1),FALSE),0)+IFERROR(VLOOKUP($B13,'RA3-Backfilled Pits'!$A$11:$BN$18,MATCH(Summary!AQ$1,'RA3-Backfilled Pits'!$A$9:$BN$9,1),FALSE),0)+IFERROR(VLOOKUP($B13,'RA4-Tracks_Roads'!$A$11:$BN$18,MATCH(Summary!AQ$1,'RA4-Tracks_Roads'!$A$9:$BN$9,1),FALSE),0)+IFERROR(VLOOKUP($B13,'RA5-ROM'!$A$11:$BN$18,MATCH(Summary!AQ$1,'RA5-ROM'!$A$9:$BN$9,1),FALSE),0)+IFERROR(VLOOKUP($B13,'RA6-CHPP'!$A$11:$BN$18,MATCH(Summary!AQ$1,'RA6-CHPP'!$A$9:$BN$9,1),FALSE),0)+IFERROR(VLOOKUP($B13,'RA7-Mine Infrastructure Area'!$A$11:$BN$18,MATCH(Summary!AQ$1,'RA7-Mine Infrastructure Area'!$A$9:$BN$9,1),FALSE),0)+IFERROR(VLOOKUP($B13,'RA8-Water Management Structures'!$A$11:$BN$18,MATCH(Summary!AQ$1,'RA8-Water Management Structures'!$A$9:$BN$9,1),FALSE),0)+IFERROR(VLOOKUP($B13,'RA9-Codisposal Upper'!$A$11:$BN$18,MATCH(Summary!AQ$1,'RA9-Codisposal Upper'!$A$9:$BN$9,1),FALSE),0)+IFERROR(VLOOKUP($B13,'RA10-Codisposal Slopes'!$A$11:$BN$18,MATCH(Summary!AQ$1,'RA10-Codisposal Slopes'!$A$9:$BN$9,1),FALSE),0)+IFERROR(VLOOKUP($B13,'IA1-Final Void inc Ramps'!$A$11:$BN$18,MATCH(Summary!AQ$1,'IA1-Final Void inc Ramps'!$A$9:$BN$9,1),FALSE),0)</f>
        <v>407.303</v>
      </c>
      <c r="AR13" s="47">
        <f>IFERROR(VLOOKUP($B13,'RA1- Elevated Dumps Upper'!$A$11:$BN$18,MATCH(Summary!AR$1,'RA1- Elevated Dumps Upper'!$A$9:$BN$9,1),FALSE),0)+IFERROR(VLOOKUP($B13,'RA2-Elevated Dumps Slopes'!$A$11:$BN$18,MATCH(Summary!AR$1,'RA2-Elevated Dumps Slopes'!$A$9:$BN$9,1),FALSE),0)+IFERROR(VLOOKUP($B13,'RA3-Backfilled Pits'!$A$11:$BN$18,MATCH(Summary!AR$1,'RA3-Backfilled Pits'!$A$9:$BN$9,1),FALSE),0)+IFERROR(VLOOKUP($B13,'RA4-Tracks_Roads'!$A$11:$BN$18,MATCH(Summary!AR$1,'RA4-Tracks_Roads'!$A$9:$BN$9,1),FALSE),0)+IFERROR(VLOOKUP($B13,'RA5-ROM'!$A$11:$BN$18,MATCH(Summary!AR$1,'RA5-ROM'!$A$9:$BN$9,1),FALSE),0)+IFERROR(VLOOKUP($B13,'RA6-CHPP'!$A$11:$BN$18,MATCH(Summary!AR$1,'RA6-CHPP'!$A$9:$BN$9,1),FALSE),0)+IFERROR(VLOOKUP($B13,'RA7-Mine Infrastructure Area'!$A$11:$BN$18,MATCH(Summary!AR$1,'RA7-Mine Infrastructure Area'!$A$9:$BN$9,1),FALSE),0)+IFERROR(VLOOKUP($B13,'RA8-Water Management Structures'!$A$11:$BN$18,MATCH(Summary!AR$1,'RA8-Water Management Structures'!$A$9:$BN$9,1),FALSE),0)+IFERROR(VLOOKUP($B13,'RA9-Codisposal Upper'!$A$11:$BN$18,MATCH(Summary!AR$1,'RA9-Codisposal Upper'!$A$9:$BN$9,1),FALSE),0)+IFERROR(VLOOKUP($B13,'RA10-Codisposal Slopes'!$A$11:$BN$18,MATCH(Summary!AR$1,'RA10-Codisposal Slopes'!$A$9:$BN$9,1),FALSE),0)+IFERROR(VLOOKUP($B13,'IA1-Final Void inc Ramps'!$A$11:$BN$18,MATCH(Summary!AR$1,'IA1-Final Void inc Ramps'!$A$9:$BN$9,1),FALSE),0)</f>
        <v>407.303</v>
      </c>
      <c r="AS13" s="47">
        <f>IFERROR(VLOOKUP($B13,'RA1- Elevated Dumps Upper'!$A$11:$BN$18,MATCH(Summary!AS$1,'RA1- Elevated Dumps Upper'!$A$9:$BN$9,1),FALSE),0)+IFERROR(VLOOKUP($B13,'RA2-Elevated Dumps Slopes'!$A$11:$BN$18,MATCH(Summary!AS$1,'RA2-Elevated Dumps Slopes'!$A$9:$BN$9,1),FALSE),0)+IFERROR(VLOOKUP($B13,'RA3-Backfilled Pits'!$A$11:$BN$18,MATCH(Summary!AS$1,'RA3-Backfilled Pits'!$A$9:$BN$9,1),FALSE),0)+IFERROR(VLOOKUP($B13,'RA4-Tracks_Roads'!$A$11:$BN$18,MATCH(Summary!AS$1,'RA4-Tracks_Roads'!$A$9:$BN$9,1),FALSE),0)+IFERROR(VLOOKUP($B13,'RA5-ROM'!$A$11:$BN$18,MATCH(Summary!AS$1,'RA5-ROM'!$A$9:$BN$9,1),FALSE),0)+IFERROR(VLOOKUP($B13,'RA6-CHPP'!$A$11:$BN$18,MATCH(Summary!AS$1,'RA6-CHPP'!$A$9:$BN$9,1),FALSE),0)+IFERROR(VLOOKUP($B13,'RA7-Mine Infrastructure Area'!$A$11:$BN$18,MATCH(Summary!AS$1,'RA7-Mine Infrastructure Area'!$A$9:$BN$9,1),FALSE),0)+IFERROR(VLOOKUP($B13,'RA8-Water Management Structures'!$A$11:$BN$18,MATCH(Summary!AS$1,'RA8-Water Management Structures'!$A$9:$BN$9,1),FALSE),0)+IFERROR(VLOOKUP($B13,'RA9-Codisposal Upper'!$A$11:$BN$18,MATCH(Summary!AS$1,'RA9-Codisposal Upper'!$A$9:$BN$9,1),FALSE),0)+IFERROR(VLOOKUP($B13,'RA10-Codisposal Slopes'!$A$11:$BN$18,MATCH(Summary!AS$1,'RA10-Codisposal Slopes'!$A$9:$BN$9,1),FALSE),0)+IFERROR(VLOOKUP($B13,'IA1-Final Void inc Ramps'!$A$11:$BN$18,MATCH(Summary!AS$1,'IA1-Final Void inc Ramps'!$A$9:$BN$9,1),FALSE),0)</f>
        <v>407.303</v>
      </c>
      <c r="AT13" s="47">
        <f>IFERROR(VLOOKUP($B13,'RA1- Elevated Dumps Upper'!$A$11:$BN$18,MATCH(Summary!AT$1,'RA1- Elevated Dumps Upper'!$A$9:$BN$9,1),FALSE),0)+IFERROR(VLOOKUP($B13,'RA2-Elevated Dumps Slopes'!$A$11:$BN$18,MATCH(Summary!AT$1,'RA2-Elevated Dumps Slopes'!$A$9:$BN$9,1),FALSE),0)+IFERROR(VLOOKUP($B13,'RA3-Backfilled Pits'!$A$11:$BN$18,MATCH(Summary!AT$1,'RA3-Backfilled Pits'!$A$9:$BN$9,1),FALSE),0)+IFERROR(VLOOKUP($B13,'RA4-Tracks_Roads'!$A$11:$BN$18,MATCH(Summary!AT$1,'RA4-Tracks_Roads'!$A$9:$BN$9,1),FALSE),0)+IFERROR(VLOOKUP($B13,'RA5-ROM'!$A$11:$BN$18,MATCH(Summary!AT$1,'RA5-ROM'!$A$9:$BN$9,1),FALSE),0)+IFERROR(VLOOKUP($B13,'RA6-CHPP'!$A$11:$BN$18,MATCH(Summary!AT$1,'RA6-CHPP'!$A$9:$BN$9,1),FALSE),0)+IFERROR(VLOOKUP($B13,'RA7-Mine Infrastructure Area'!$A$11:$BN$18,MATCH(Summary!AT$1,'RA7-Mine Infrastructure Area'!$A$9:$BN$9,1),FALSE),0)+IFERROR(VLOOKUP($B13,'RA8-Water Management Structures'!$A$11:$BN$18,MATCH(Summary!AT$1,'RA8-Water Management Structures'!$A$9:$BN$9,1),FALSE),0)+IFERROR(VLOOKUP($B13,'RA9-Codisposal Upper'!$A$11:$BN$18,MATCH(Summary!AT$1,'RA9-Codisposal Upper'!$A$9:$BN$9,1),FALSE),0)+IFERROR(VLOOKUP($B13,'RA10-Codisposal Slopes'!$A$11:$BN$18,MATCH(Summary!AT$1,'RA10-Codisposal Slopes'!$A$9:$BN$9,1),FALSE),0)+IFERROR(VLOOKUP($B13,'IA1-Final Void inc Ramps'!$A$11:$BN$18,MATCH(Summary!AT$1,'IA1-Final Void inc Ramps'!$A$9:$BN$9,1),FALSE),0)</f>
        <v>407.303</v>
      </c>
      <c r="AU13" s="47">
        <f>IFERROR(VLOOKUP($B13,'RA1- Elevated Dumps Upper'!$A$11:$BN$18,MATCH(Summary!AU$1,'RA1- Elevated Dumps Upper'!$A$9:$BN$9,1),FALSE),0)+IFERROR(VLOOKUP($B13,'RA2-Elevated Dumps Slopes'!$A$11:$BN$18,MATCH(Summary!AU$1,'RA2-Elevated Dumps Slopes'!$A$9:$BN$9,1),FALSE),0)+IFERROR(VLOOKUP($B13,'RA3-Backfilled Pits'!$A$11:$BN$18,MATCH(Summary!AU$1,'RA3-Backfilled Pits'!$A$9:$BN$9,1),FALSE),0)+IFERROR(VLOOKUP($B13,'RA4-Tracks_Roads'!$A$11:$BN$18,MATCH(Summary!AU$1,'RA4-Tracks_Roads'!$A$9:$BN$9,1),FALSE),0)+IFERROR(VLOOKUP($B13,'RA5-ROM'!$A$11:$BN$18,MATCH(Summary!AU$1,'RA5-ROM'!$A$9:$BN$9,1),FALSE),0)+IFERROR(VLOOKUP($B13,'RA6-CHPP'!$A$11:$BN$18,MATCH(Summary!AU$1,'RA6-CHPP'!$A$9:$BN$9,1),FALSE),0)+IFERROR(VLOOKUP($B13,'RA7-Mine Infrastructure Area'!$A$11:$BN$18,MATCH(Summary!AU$1,'RA7-Mine Infrastructure Area'!$A$9:$BN$9,1),FALSE),0)+IFERROR(VLOOKUP($B13,'RA8-Water Management Structures'!$A$11:$BN$18,MATCH(Summary!AU$1,'RA8-Water Management Structures'!$A$9:$BN$9,1),FALSE),0)+IFERROR(VLOOKUP($B13,'RA9-Codisposal Upper'!$A$11:$BN$18,MATCH(Summary!AU$1,'RA9-Codisposal Upper'!$A$9:$BN$9,1),FALSE),0)+IFERROR(VLOOKUP($B13,'RA10-Codisposal Slopes'!$A$11:$BN$18,MATCH(Summary!AU$1,'RA10-Codisposal Slopes'!$A$9:$BN$9,1),FALSE),0)+IFERROR(VLOOKUP($B13,'IA1-Final Void inc Ramps'!$A$11:$BN$18,MATCH(Summary!AU$1,'IA1-Final Void inc Ramps'!$A$9:$BN$9,1),FALSE),0)</f>
        <v>407.303</v>
      </c>
      <c r="AV13" s="47">
        <f>IFERROR(VLOOKUP($B13,'RA1- Elevated Dumps Upper'!$A$11:$BN$18,MATCH(Summary!AV$1,'RA1- Elevated Dumps Upper'!$A$9:$BN$9,1),FALSE),0)+IFERROR(VLOOKUP($B13,'RA2-Elevated Dumps Slopes'!$A$11:$BN$18,MATCH(Summary!AV$1,'RA2-Elevated Dumps Slopes'!$A$9:$BN$9,1),FALSE),0)+IFERROR(VLOOKUP($B13,'RA3-Backfilled Pits'!$A$11:$BN$18,MATCH(Summary!AV$1,'RA3-Backfilled Pits'!$A$9:$BN$9,1),FALSE),0)+IFERROR(VLOOKUP($B13,'RA4-Tracks_Roads'!$A$11:$BN$18,MATCH(Summary!AV$1,'RA4-Tracks_Roads'!$A$9:$BN$9,1),FALSE),0)+IFERROR(VLOOKUP($B13,'RA5-ROM'!$A$11:$BN$18,MATCH(Summary!AV$1,'RA5-ROM'!$A$9:$BN$9,1),FALSE),0)+IFERROR(VLOOKUP($B13,'RA6-CHPP'!$A$11:$BN$18,MATCH(Summary!AV$1,'RA6-CHPP'!$A$9:$BN$9,1),FALSE),0)+IFERROR(VLOOKUP($B13,'RA7-Mine Infrastructure Area'!$A$11:$BN$18,MATCH(Summary!AV$1,'RA7-Mine Infrastructure Area'!$A$9:$BN$9,1),FALSE),0)+IFERROR(VLOOKUP($B13,'RA8-Water Management Structures'!$A$11:$BN$18,MATCH(Summary!AV$1,'RA8-Water Management Structures'!$A$9:$BN$9,1),FALSE),0)+IFERROR(VLOOKUP($B13,'RA9-Codisposal Upper'!$A$11:$BN$18,MATCH(Summary!AV$1,'RA9-Codisposal Upper'!$A$9:$BN$9,1),FALSE),0)+IFERROR(VLOOKUP($B13,'RA10-Codisposal Slopes'!$A$11:$BN$18,MATCH(Summary!AV$1,'RA10-Codisposal Slopes'!$A$9:$BN$9,1),FALSE),0)+IFERROR(VLOOKUP($B13,'IA1-Final Void inc Ramps'!$A$11:$BN$18,MATCH(Summary!AV$1,'IA1-Final Void inc Ramps'!$A$9:$BN$9,1),FALSE),0)</f>
        <v>407.303</v>
      </c>
      <c r="AW13" s="47">
        <f>IFERROR(VLOOKUP($B13,'RA1- Elevated Dumps Upper'!$A$11:$BN$18,MATCH(Summary!AW$1,'RA1- Elevated Dumps Upper'!$A$9:$BN$9,1),FALSE),0)+IFERROR(VLOOKUP($B13,'RA2-Elevated Dumps Slopes'!$A$11:$BN$18,MATCH(Summary!AW$1,'RA2-Elevated Dumps Slopes'!$A$9:$BN$9,1),FALSE),0)+IFERROR(VLOOKUP($B13,'RA3-Backfilled Pits'!$A$11:$BN$18,MATCH(Summary!AW$1,'RA3-Backfilled Pits'!$A$9:$BN$9,1),FALSE),0)+IFERROR(VLOOKUP($B13,'RA4-Tracks_Roads'!$A$11:$BN$18,MATCH(Summary!AW$1,'RA4-Tracks_Roads'!$A$9:$BN$9,1),FALSE),0)+IFERROR(VLOOKUP($B13,'RA5-ROM'!$A$11:$BN$18,MATCH(Summary!AW$1,'RA5-ROM'!$A$9:$BN$9,1),FALSE),0)+IFERROR(VLOOKUP($B13,'RA6-CHPP'!$A$11:$BN$18,MATCH(Summary!AW$1,'RA6-CHPP'!$A$9:$BN$9,1),FALSE),0)+IFERROR(VLOOKUP($B13,'RA7-Mine Infrastructure Area'!$A$11:$BN$18,MATCH(Summary!AW$1,'RA7-Mine Infrastructure Area'!$A$9:$BN$9,1),FALSE),0)+IFERROR(VLOOKUP($B13,'RA8-Water Management Structures'!$A$11:$BN$18,MATCH(Summary!AW$1,'RA8-Water Management Structures'!$A$9:$BN$9,1),FALSE),0)+IFERROR(VLOOKUP($B13,'RA9-Codisposal Upper'!$A$11:$BN$18,MATCH(Summary!AW$1,'RA9-Codisposal Upper'!$A$9:$BN$9,1),FALSE),0)+IFERROR(VLOOKUP($B13,'RA10-Codisposal Slopes'!$A$11:$BN$18,MATCH(Summary!AW$1,'RA10-Codisposal Slopes'!$A$9:$BN$9,1),FALSE),0)+IFERROR(VLOOKUP($B13,'IA1-Final Void inc Ramps'!$A$11:$BN$18,MATCH(Summary!AW$1,'IA1-Final Void inc Ramps'!$A$9:$BN$9,1),FALSE),0)</f>
        <v>407.303</v>
      </c>
      <c r="AX13" s="47">
        <f>IFERROR(VLOOKUP($B13,'RA1- Elevated Dumps Upper'!$A$11:$BN$18,MATCH(Summary!AX$1,'RA1- Elevated Dumps Upper'!$A$9:$BN$9,1),FALSE),0)+IFERROR(VLOOKUP($B13,'RA2-Elevated Dumps Slopes'!$A$11:$BN$18,MATCH(Summary!AX$1,'RA2-Elevated Dumps Slopes'!$A$9:$BN$9,1),FALSE),0)+IFERROR(VLOOKUP($B13,'RA3-Backfilled Pits'!$A$11:$BN$18,MATCH(Summary!AX$1,'RA3-Backfilled Pits'!$A$9:$BN$9,1),FALSE),0)+IFERROR(VLOOKUP($B13,'RA4-Tracks_Roads'!$A$11:$BN$18,MATCH(Summary!AX$1,'RA4-Tracks_Roads'!$A$9:$BN$9,1),FALSE),0)+IFERROR(VLOOKUP($B13,'RA5-ROM'!$A$11:$BN$18,MATCH(Summary!AX$1,'RA5-ROM'!$A$9:$BN$9,1),FALSE),0)+IFERROR(VLOOKUP($B13,'RA6-CHPP'!$A$11:$BN$18,MATCH(Summary!AX$1,'RA6-CHPP'!$A$9:$BN$9,1),FALSE),0)+IFERROR(VLOOKUP($B13,'RA7-Mine Infrastructure Area'!$A$11:$BN$18,MATCH(Summary!AX$1,'RA7-Mine Infrastructure Area'!$A$9:$BN$9,1),FALSE),0)+IFERROR(VLOOKUP($B13,'RA8-Water Management Structures'!$A$11:$BN$18,MATCH(Summary!AX$1,'RA8-Water Management Structures'!$A$9:$BN$9,1),FALSE),0)+IFERROR(VLOOKUP($B13,'RA9-Codisposal Upper'!$A$11:$BN$18,MATCH(Summary!AX$1,'RA9-Codisposal Upper'!$A$9:$BN$9,1),FALSE),0)+IFERROR(VLOOKUP($B13,'RA10-Codisposal Slopes'!$A$11:$BN$18,MATCH(Summary!AX$1,'RA10-Codisposal Slopes'!$A$9:$BN$9,1),FALSE),0)+IFERROR(VLOOKUP($B13,'IA1-Final Void inc Ramps'!$A$11:$BN$18,MATCH(Summary!AX$1,'IA1-Final Void inc Ramps'!$A$9:$BN$9,1),FALSE),0)</f>
        <v>407.303</v>
      </c>
      <c r="AY13" s="47">
        <f>IFERROR(VLOOKUP($B13,'RA1- Elevated Dumps Upper'!$A$11:$BN$18,MATCH(Summary!AY$1,'RA1- Elevated Dumps Upper'!$A$9:$BN$9,1),FALSE),0)+IFERROR(VLOOKUP($B13,'RA2-Elevated Dumps Slopes'!$A$11:$BN$18,MATCH(Summary!AY$1,'RA2-Elevated Dumps Slopes'!$A$9:$BN$9,1),FALSE),0)+IFERROR(VLOOKUP($B13,'RA3-Backfilled Pits'!$A$11:$BN$18,MATCH(Summary!AY$1,'RA3-Backfilled Pits'!$A$9:$BN$9,1),FALSE),0)+IFERROR(VLOOKUP($B13,'RA4-Tracks_Roads'!$A$11:$BN$18,MATCH(Summary!AY$1,'RA4-Tracks_Roads'!$A$9:$BN$9,1),FALSE),0)+IFERROR(VLOOKUP($B13,'RA5-ROM'!$A$11:$BN$18,MATCH(Summary!AY$1,'RA5-ROM'!$A$9:$BN$9,1),FALSE),0)+IFERROR(VLOOKUP($B13,'RA6-CHPP'!$A$11:$BN$18,MATCH(Summary!AY$1,'RA6-CHPP'!$A$9:$BN$9,1),FALSE),0)+IFERROR(VLOOKUP($B13,'RA7-Mine Infrastructure Area'!$A$11:$BN$18,MATCH(Summary!AY$1,'RA7-Mine Infrastructure Area'!$A$9:$BN$9,1),FALSE),0)+IFERROR(VLOOKUP($B13,'RA8-Water Management Structures'!$A$11:$BN$18,MATCH(Summary!AY$1,'RA8-Water Management Structures'!$A$9:$BN$9,1),FALSE),0)+IFERROR(VLOOKUP($B13,'RA9-Codisposal Upper'!$A$11:$BN$18,MATCH(Summary!AY$1,'RA9-Codisposal Upper'!$A$9:$BN$9,1),FALSE),0)+IFERROR(VLOOKUP($B13,'RA10-Codisposal Slopes'!$A$11:$BN$18,MATCH(Summary!AY$1,'RA10-Codisposal Slopes'!$A$9:$BN$9,1),FALSE),0)+IFERROR(VLOOKUP($B13,'IA1-Final Void inc Ramps'!$A$11:$BN$18,MATCH(Summary!AY$1,'IA1-Final Void inc Ramps'!$A$9:$BN$9,1),FALSE),0)</f>
        <v>407.303</v>
      </c>
      <c r="AZ13" s="47">
        <f>IFERROR(VLOOKUP($B13,'RA1- Elevated Dumps Upper'!$A$11:$BN$18,MATCH(Summary!AZ$1,'RA1- Elevated Dumps Upper'!$A$9:$BN$9,1),FALSE),0)+IFERROR(VLOOKUP($B13,'RA2-Elevated Dumps Slopes'!$A$11:$BN$18,MATCH(Summary!AZ$1,'RA2-Elevated Dumps Slopes'!$A$9:$BN$9,1),FALSE),0)+IFERROR(VLOOKUP($B13,'RA3-Backfilled Pits'!$A$11:$BN$18,MATCH(Summary!AZ$1,'RA3-Backfilled Pits'!$A$9:$BN$9,1),FALSE),0)+IFERROR(VLOOKUP($B13,'RA4-Tracks_Roads'!$A$11:$BN$18,MATCH(Summary!AZ$1,'RA4-Tracks_Roads'!$A$9:$BN$9,1),FALSE),0)+IFERROR(VLOOKUP($B13,'RA5-ROM'!$A$11:$BN$18,MATCH(Summary!AZ$1,'RA5-ROM'!$A$9:$BN$9,1),FALSE),0)+IFERROR(VLOOKUP($B13,'RA6-CHPP'!$A$11:$BN$18,MATCH(Summary!AZ$1,'RA6-CHPP'!$A$9:$BN$9,1),FALSE),0)+IFERROR(VLOOKUP($B13,'RA7-Mine Infrastructure Area'!$A$11:$BN$18,MATCH(Summary!AZ$1,'RA7-Mine Infrastructure Area'!$A$9:$BN$9,1),FALSE),0)+IFERROR(VLOOKUP($B13,'RA8-Water Management Structures'!$A$11:$BN$18,MATCH(Summary!AZ$1,'RA8-Water Management Structures'!$A$9:$BN$9,1),FALSE),0)+IFERROR(VLOOKUP($B13,'RA9-Codisposal Upper'!$A$11:$BN$18,MATCH(Summary!AZ$1,'RA9-Codisposal Upper'!$A$9:$BN$9,1),FALSE),0)+IFERROR(VLOOKUP($B13,'RA10-Codisposal Slopes'!$A$11:$BN$18,MATCH(Summary!AZ$1,'RA10-Codisposal Slopes'!$A$9:$BN$9,1),FALSE),0)+IFERROR(VLOOKUP($B13,'IA1-Final Void inc Ramps'!$A$11:$BN$18,MATCH(Summary!AZ$1,'IA1-Final Void inc Ramps'!$A$9:$BN$9,1),FALSE),0)</f>
        <v>407.303</v>
      </c>
      <c r="BA13" s="47">
        <f>IFERROR(VLOOKUP($B13,'RA1- Elevated Dumps Upper'!$A$11:$BN$18,MATCH(Summary!BA$1,'RA1- Elevated Dumps Upper'!$A$9:$BN$9,1),FALSE),0)+IFERROR(VLOOKUP($B13,'RA2-Elevated Dumps Slopes'!$A$11:$BN$18,MATCH(Summary!BA$1,'RA2-Elevated Dumps Slopes'!$A$9:$BN$9,1),FALSE),0)+IFERROR(VLOOKUP($B13,'RA3-Backfilled Pits'!$A$11:$BN$18,MATCH(Summary!BA$1,'RA3-Backfilled Pits'!$A$9:$BN$9,1),FALSE),0)+IFERROR(VLOOKUP($B13,'RA4-Tracks_Roads'!$A$11:$BN$18,MATCH(Summary!BA$1,'RA4-Tracks_Roads'!$A$9:$BN$9,1),FALSE),0)+IFERROR(VLOOKUP($B13,'RA5-ROM'!$A$11:$BN$18,MATCH(Summary!BA$1,'RA5-ROM'!$A$9:$BN$9,1),FALSE),0)+IFERROR(VLOOKUP($B13,'RA6-CHPP'!$A$11:$BN$18,MATCH(Summary!BA$1,'RA6-CHPP'!$A$9:$BN$9,1),FALSE),0)+IFERROR(VLOOKUP($B13,'RA7-Mine Infrastructure Area'!$A$11:$BN$18,MATCH(Summary!BA$1,'RA7-Mine Infrastructure Area'!$A$9:$BN$9,1),FALSE),0)+IFERROR(VLOOKUP($B13,'RA8-Water Management Structures'!$A$11:$BN$18,MATCH(Summary!BA$1,'RA8-Water Management Structures'!$A$9:$BN$9,1),FALSE),0)+IFERROR(VLOOKUP($B13,'RA9-Codisposal Upper'!$A$11:$BN$18,MATCH(Summary!BA$1,'RA9-Codisposal Upper'!$A$9:$BN$9,1),FALSE),0)+IFERROR(VLOOKUP($B13,'RA10-Codisposal Slopes'!$A$11:$BN$18,MATCH(Summary!BA$1,'RA10-Codisposal Slopes'!$A$9:$BN$9,1),FALSE),0)+IFERROR(VLOOKUP($B13,'IA1-Final Void inc Ramps'!$A$11:$BN$18,MATCH(Summary!BA$1,'IA1-Final Void inc Ramps'!$A$9:$BN$9,1),FALSE),0)</f>
        <v>407.303</v>
      </c>
      <c r="BB13" s="47">
        <f>IFERROR(VLOOKUP($B13,'RA1- Elevated Dumps Upper'!$A$11:$BN$18,MATCH(Summary!BB$1,'RA1- Elevated Dumps Upper'!$A$9:$BN$9,1),FALSE),0)+IFERROR(VLOOKUP($B13,'RA2-Elevated Dumps Slopes'!$A$11:$BN$18,MATCH(Summary!BB$1,'RA2-Elevated Dumps Slopes'!$A$9:$BN$9,1),FALSE),0)+IFERROR(VLOOKUP($B13,'RA3-Backfilled Pits'!$A$11:$BN$18,MATCH(Summary!BB$1,'RA3-Backfilled Pits'!$A$9:$BN$9,1),FALSE),0)+IFERROR(VLOOKUP($B13,'RA4-Tracks_Roads'!$A$11:$BN$18,MATCH(Summary!BB$1,'RA4-Tracks_Roads'!$A$9:$BN$9,1),FALSE),0)+IFERROR(VLOOKUP($B13,'RA5-ROM'!$A$11:$BN$18,MATCH(Summary!BB$1,'RA5-ROM'!$A$9:$BN$9,1),FALSE),0)+IFERROR(VLOOKUP($B13,'RA6-CHPP'!$A$11:$BN$18,MATCH(Summary!BB$1,'RA6-CHPP'!$A$9:$BN$9,1),FALSE),0)+IFERROR(VLOOKUP($B13,'RA7-Mine Infrastructure Area'!$A$11:$BN$18,MATCH(Summary!BB$1,'RA7-Mine Infrastructure Area'!$A$9:$BN$9,1),FALSE),0)+IFERROR(VLOOKUP($B13,'RA8-Water Management Structures'!$A$11:$BN$18,MATCH(Summary!BB$1,'RA8-Water Management Structures'!$A$9:$BN$9,1),FALSE),0)+IFERROR(VLOOKUP($B13,'RA9-Codisposal Upper'!$A$11:$BN$18,MATCH(Summary!BB$1,'RA9-Codisposal Upper'!$A$9:$BN$9,1),FALSE),0)+IFERROR(VLOOKUP($B13,'RA10-Codisposal Slopes'!$A$11:$BN$18,MATCH(Summary!BB$1,'RA10-Codisposal Slopes'!$A$9:$BN$9,1),FALSE),0)+IFERROR(VLOOKUP($B13,'IA1-Final Void inc Ramps'!$A$11:$BN$18,MATCH(Summary!BB$1,'IA1-Final Void inc Ramps'!$A$9:$BN$9,1),FALSE),0)</f>
        <v>407.303</v>
      </c>
      <c r="BC13" s="47">
        <f>IFERROR(VLOOKUP($B13,'RA1- Elevated Dumps Upper'!$A$11:$BN$18,MATCH(Summary!BC$1,'RA1- Elevated Dumps Upper'!$A$9:$BN$9,1),FALSE),0)+IFERROR(VLOOKUP($B13,'RA2-Elevated Dumps Slopes'!$A$11:$BN$18,MATCH(Summary!BC$1,'RA2-Elevated Dumps Slopes'!$A$9:$BN$9,1),FALSE),0)+IFERROR(VLOOKUP($B13,'RA3-Backfilled Pits'!$A$11:$BN$18,MATCH(Summary!BC$1,'RA3-Backfilled Pits'!$A$9:$BN$9,1),FALSE),0)+IFERROR(VLOOKUP($B13,'RA4-Tracks_Roads'!$A$11:$BN$18,MATCH(Summary!BC$1,'RA4-Tracks_Roads'!$A$9:$BN$9,1),FALSE),0)+IFERROR(VLOOKUP($B13,'RA5-ROM'!$A$11:$BN$18,MATCH(Summary!BC$1,'RA5-ROM'!$A$9:$BN$9,1),FALSE),0)+IFERROR(VLOOKUP($B13,'RA6-CHPP'!$A$11:$BN$18,MATCH(Summary!BC$1,'RA6-CHPP'!$A$9:$BN$9,1),FALSE),0)+IFERROR(VLOOKUP($B13,'RA7-Mine Infrastructure Area'!$A$11:$BN$18,MATCH(Summary!BC$1,'RA7-Mine Infrastructure Area'!$A$9:$BN$9,1),FALSE),0)+IFERROR(VLOOKUP($B13,'RA8-Water Management Structures'!$A$11:$BN$18,MATCH(Summary!BC$1,'RA8-Water Management Structures'!$A$9:$BN$9,1),FALSE),0)+IFERROR(VLOOKUP($B13,'RA9-Codisposal Upper'!$A$11:$BN$18,MATCH(Summary!BC$1,'RA9-Codisposal Upper'!$A$9:$BN$9,1),FALSE),0)+IFERROR(VLOOKUP($B13,'RA10-Codisposal Slopes'!$A$11:$BN$18,MATCH(Summary!BC$1,'RA10-Codisposal Slopes'!$A$9:$BN$9,1),FALSE),0)+IFERROR(VLOOKUP($B13,'IA1-Final Void inc Ramps'!$A$11:$BN$18,MATCH(Summary!BC$1,'IA1-Final Void inc Ramps'!$A$9:$BN$9,1),FALSE),0)</f>
        <v>407.303</v>
      </c>
      <c r="BD13" s="47">
        <f>IFERROR(VLOOKUP($B13,'RA1- Elevated Dumps Upper'!$A$11:$BN$18,MATCH(Summary!BD$1,'RA1- Elevated Dumps Upper'!$A$9:$BN$9,1),FALSE),0)+IFERROR(VLOOKUP($B13,'RA2-Elevated Dumps Slopes'!$A$11:$BN$18,MATCH(Summary!BD$1,'RA2-Elevated Dumps Slopes'!$A$9:$BN$9,1),FALSE),0)+IFERROR(VLOOKUP($B13,'RA3-Backfilled Pits'!$A$11:$BN$18,MATCH(Summary!BD$1,'RA3-Backfilled Pits'!$A$9:$BN$9,1),FALSE),0)+IFERROR(VLOOKUP($B13,'RA4-Tracks_Roads'!$A$11:$BN$18,MATCH(Summary!BD$1,'RA4-Tracks_Roads'!$A$9:$BN$9,1),FALSE),0)+IFERROR(VLOOKUP($B13,'RA5-ROM'!$A$11:$BN$18,MATCH(Summary!BD$1,'RA5-ROM'!$A$9:$BN$9,1),FALSE),0)+IFERROR(VLOOKUP($B13,'RA6-CHPP'!$A$11:$BN$18,MATCH(Summary!BD$1,'RA6-CHPP'!$A$9:$BN$9,1),FALSE),0)+IFERROR(VLOOKUP($B13,'RA7-Mine Infrastructure Area'!$A$11:$BN$18,MATCH(Summary!BD$1,'RA7-Mine Infrastructure Area'!$A$9:$BN$9,1),FALSE),0)+IFERROR(VLOOKUP($B13,'RA8-Water Management Structures'!$A$11:$BN$18,MATCH(Summary!BD$1,'RA8-Water Management Structures'!$A$9:$BN$9,1),FALSE),0)+IFERROR(VLOOKUP($B13,'RA9-Codisposal Upper'!$A$11:$BN$18,MATCH(Summary!BD$1,'RA9-Codisposal Upper'!$A$9:$BN$9,1),FALSE),0)+IFERROR(VLOOKUP($B13,'RA10-Codisposal Slopes'!$A$11:$BN$18,MATCH(Summary!BD$1,'RA10-Codisposal Slopes'!$A$9:$BN$9,1),FALSE),0)+IFERROR(VLOOKUP($B13,'IA1-Final Void inc Ramps'!$A$11:$BN$18,MATCH(Summary!BD$1,'IA1-Final Void inc Ramps'!$A$9:$BN$9,1),FALSE),0)</f>
        <v>407.303</v>
      </c>
      <c r="BE13" s="47">
        <f>IFERROR(VLOOKUP($B13,'RA1- Elevated Dumps Upper'!$A$11:$BN$18,MATCH(Summary!BE$1,'RA1- Elevated Dumps Upper'!$A$9:$BN$9,1),FALSE),0)+IFERROR(VLOOKUP($B13,'RA2-Elevated Dumps Slopes'!$A$11:$BN$18,MATCH(Summary!BE$1,'RA2-Elevated Dumps Slopes'!$A$9:$BN$9,1),FALSE),0)+IFERROR(VLOOKUP($B13,'RA3-Backfilled Pits'!$A$11:$BN$18,MATCH(Summary!BE$1,'RA3-Backfilled Pits'!$A$9:$BN$9,1),FALSE),0)+IFERROR(VLOOKUP($B13,'RA4-Tracks_Roads'!$A$11:$BN$18,MATCH(Summary!BE$1,'RA4-Tracks_Roads'!$A$9:$BN$9,1),FALSE),0)+IFERROR(VLOOKUP($B13,'RA5-ROM'!$A$11:$BN$18,MATCH(Summary!BE$1,'RA5-ROM'!$A$9:$BN$9,1),FALSE),0)+IFERROR(VLOOKUP($B13,'RA6-CHPP'!$A$11:$BN$18,MATCH(Summary!BE$1,'RA6-CHPP'!$A$9:$BN$9,1),FALSE),0)+IFERROR(VLOOKUP($B13,'RA7-Mine Infrastructure Area'!$A$11:$BN$18,MATCH(Summary!BE$1,'RA7-Mine Infrastructure Area'!$A$9:$BN$9,1),FALSE),0)+IFERROR(VLOOKUP($B13,'RA8-Water Management Structures'!$A$11:$BN$18,MATCH(Summary!BE$1,'RA8-Water Management Structures'!$A$9:$BN$9,1),FALSE),0)+IFERROR(VLOOKUP($B13,'RA9-Codisposal Upper'!$A$11:$BN$18,MATCH(Summary!BE$1,'RA9-Codisposal Upper'!$A$9:$BN$9,1),FALSE),0)+IFERROR(VLOOKUP($B13,'RA10-Codisposal Slopes'!$A$11:$BN$18,MATCH(Summary!BE$1,'RA10-Codisposal Slopes'!$A$9:$BN$9,1),FALSE),0)+IFERROR(VLOOKUP($B13,'IA1-Final Void inc Ramps'!$A$11:$BN$18,MATCH(Summary!BE$1,'IA1-Final Void inc Ramps'!$A$9:$BN$9,1),FALSE),0)</f>
        <v>407.303</v>
      </c>
      <c r="BF13" s="47">
        <f>IFERROR(VLOOKUP($B13,'RA1- Elevated Dumps Upper'!$A$11:$BN$18,MATCH(Summary!BF$1,'RA1- Elevated Dumps Upper'!$A$9:$BN$9,1),FALSE),0)+IFERROR(VLOOKUP($B13,'RA2-Elevated Dumps Slopes'!$A$11:$BN$18,MATCH(Summary!BF$1,'RA2-Elevated Dumps Slopes'!$A$9:$BN$9,1),FALSE),0)+IFERROR(VLOOKUP($B13,'RA3-Backfilled Pits'!$A$11:$BN$18,MATCH(Summary!BF$1,'RA3-Backfilled Pits'!$A$9:$BN$9,1),FALSE),0)+IFERROR(VLOOKUP($B13,'RA4-Tracks_Roads'!$A$11:$BN$18,MATCH(Summary!BF$1,'RA4-Tracks_Roads'!$A$9:$BN$9,1),FALSE),0)+IFERROR(VLOOKUP($B13,'RA5-ROM'!$A$11:$BN$18,MATCH(Summary!BF$1,'RA5-ROM'!$A$9:$BN$9,1),FALSE),0)+IFERROR(VLOOKUP($B13,'RA6-CHPP'!$A$11:$BN$18,MATCH(Summary!BF$1,'RA6-CHPP'!$A$9:$BN$9,1),FALSE),0)+IFERROR(VLOOKUP($B13,'RA7-Mine Infrastructure Area'!$A$11:$BN$18,MATCH(Summary!BF$1,'RA7-Mine Infrastructure Area'!$A$9:$BN$9,1),FALSE),0)+IFERROR(VLOOKUP($B13,'RA8-Water Management Structures'!$A$11:$BN$18,MATCH(Summary!BF$1,'RA8-Water Management Structures'!$A$9:$BN$9,1),FALSE),0)+IFERROR(VLOOKUP($B13,'RA9-Codisposal Upper'!$A$11:$BN$18,MATCH(Summary!BF$1,'RA9-Codisposal Upper'!$A$9:$BN$9,1),FALSE),0)+IFERROR(VLOOKUP($B13,'RA10-Codisposal Slopes'!$A$11:$BN$18,MATCH(Summary!BF$1,'RA10-Codisposal Slopes'!$A$9:$BN$9,1),FALSE),0)+IFERROR(VLOOKUP($B13,'IA1-Final Void inc Ramps'!$A$11:$BN$18,MATCH(Summary!BF$1,'IA1-Final Void inc Ramps'!$A$9:$BN$9,1),FALSE),0)</f>
        <v>407.303</v>
      </c>
      <c r="BG13" s="47">
        <f>IFERROR(VLOOKUP($B13,'RA1- Elevated Dumps Upper'!$A$11:$BN$18,MATCH(Summary!BG$1,'RA1- Elevated Dumps Upper'!$A$9:$BN$9,1),FALSE),0)+IFERROR(VLOOKUP($B13,'RA2-Elevated Dumps Slopes'!$A$11:$BN$18,MATCH(Summary!BG$1,'RA2-Elevated Dumps Slopes'!$A$9:$BN$9,1),FALSE),0)+IFERROR(VLOOKUP($B13,'RA3-Backfilled Pits'!$A$11:$BN$18,MATCH(Summary!BG$1,'RA3-Backfilled Pits'!$A$9:$BN$9,1),FALSE),0)+IFERROR(VLOOKUP($B13,'RA4-Tracks_Roads'!$A$11:$BN$18,MATCH(Summary!BG$1,'RA4-Tracks_Roads'!$A$9:$BN$9,1),FALSE),0)+IFERROR(VLOOKUP($B13,'RA5-ROM'!$A$11:$BN$18,MATCH(Summary!BG$1,'RA5-ROM'!$A$9:$BN$9,1),FALSE),0)+IFERROR(VLOOKUP($B13,'RA6-CHPP'!$A$11:$BN$18,MATCH(Summary!BG$1,'RA6-CHPP'!$A$9:$BN$9,1),FALSE),0)+IFERROR(VLOOKUP($B13,'RA7-Mine Infrastructure Area'!$A$11:$BN$18,MATCH(Summary!BG$1,'RA7-Mine Infrastructure Area'!$A$9:$BN$9,1),FALSE),0)+IFERROR(VLOOKUP($B13,'RA8-Water Management Structures'!$A$11:$BN$18,MATCH(Summary!BG$1,'RA8-Water Management Structures'!$A$9:$BN$9,1),FALSE),0)+IFERROR(VLOOKUP($B13,'RA9-Codisposal Upper'!$A$11:$BN$18,MATCH(Summary!BG$1,'RA9-Codisposal Upper'!$A$9:$BN$9,1),FALSE),0)+IFERROR(VLOOKUP($B13,'RA10-Codisposal Slopes'!$A$11:$BN$18,MATCH(Summary!BG$1,'RA10-Codisposal Slopes'!$A$9:$BN$9,1),FALSE),0)+IFERROR(VLOOKUP($B13,'IA1-Final Void inc Ramps'!$A$11:$BN$18,MATCH(Summary!BG$1,'IA1-Final Void inc Ramps'!$A$9:$BN$9,1),FALSE),0)</f>
        <v>407.303</v>
      </c>
      <c r="BH13" s="47">
        <f>IFERROR(VLOOKUP($B13,'RA1- Elevated Dumps Upper'!$A$11:$BN$18,MATCH(Summary!BH$1,'RA1- Elevated Dumps Upper'!$A$9:$BN$9,1),FALSE),0)+IFERROR(VLOOKUP($B13,'RA2-Elevated Dumps Slopes'!$A$11:$BN$18,MATCH(Summary!BH$1,'RA2-Elevated Dumps Slopes'!$A$9:$BN$9,1),FALSE),0)+IFERROR(VLOOKUP($B13,'RA3-Backfilled Pits'!$A$11:$BN$18,MATCH(Summary!BH$1,'RA3-Backfilled Pits'!$A$9:$BN$9,1),FALSE),0)+IFERROR(VLOOKUP($B13,'RA4-Tracks_Roads'!$A$11:$BN$18,MATCH(Summary!BH$1,'RA4-Tracks_Roads'!$A$9:$BN$9,1),FALSE),0)+IFERROR(VLOOKUP($B13,'RA5-ROM'!$A$11:$BN$18,MATCH(Summary!BH$1,'RA5-ROM'!$A$9:$BN$9,1),FALSE),0)+IFERROR(VLOOKUP($B13,'RA6-CHPP'!$A$11:$BN$18,MATCH(Summary!BH$1,'RA6-CHPP'!$A$9:$BN$9,1),FALSE),0)+IFERROR(VLOOKUP($B13,'RA7-Mine Infrastructure Area'!$A$11:$BN$18,MATCH(Summary!BH$1,'RA7-Mine Infrastructure Area'!$A$9:$BN$9,1),FALSE),0)+IFERROR(VLOOKUP($B13,'RA8-Water Management Structures'!$A$11:$BN$18,MATCH(Summary!BH$1,'RA8-Water Management Structures'!$A$9:$BN$9,1),FALSE),0)+IFERROR(VLOOKUP($B13,'RA9-Codisposal Upper'!$A$11:$BN$18,MATCH(Summary!BH$1,'RA9-Codisposal Upper'!$A$9:$BN$9,1),FALSE),0)+IFERROR(VLOOKUP($B13,'RA10-Codisposal Slopes'!$A$11:$BN$18,MATCH(Summary!BH$1,'RA10-Codisposal Slopes'!$A$9:$BN$9,1),FALSE),0)+IFERROR(VLOOKUP($B13,'IA1-Final Void inc Ramps'!$A$11:$BN$18,MATCH(Summary!BH$1,'IA1-Final Void inc Ramps'!$A$9:$BN$9,1),FALSE),0)</f>
        <v>407.303</v>
      </c>
      <c r="BI13" s="47">
        <f>IFERROR(VLOOKUP($B13,'RA1- Elevated Dumps Upper'!$A$11:$BN$18,MATCH(Summary!BI$1,'RA1- Elevated Dumps Upper'!$A$9:$BN$9,1),FALSE),0)+IFERROR(VLOOKUP($B13,'RA2-Elevated Dumps Slopes'!$A$11:$BN$18,MATCH(Summary!BI$1,'RA2-Elevated Dumps Slopes'!$A$9:$BN$9,1),FALSE),0)+IFERROR(VLOOKUP($B13,'RA3-Backfilled Pits'!$A$11:$BN$18,MATCH(Summary!BI$1,'RA3-Backfilled Pits'!$A$9:$BN$9,1),FALSE),0)+IFERROR(VLOOKUP($B13,'RA4-Tracks_Roads'!$A$11:$BN$18,MATCH(Summary!BI$1,'RA4-Tracks_Roads'!$A$9:$BN$9,1),FALSE),0)+IFERROR(VLOOKUP($B13,'RA5-ROM'!$A$11:$BN$18,MATCH(Summary!BI$1,'RA5-ROM'!$A$9:$BN$9,1),FALSE),0)+IFERROR(VLOOKUP($B13,'RA6-CHPP'!$A$11:$BN$18,MATCH(Summary!BI$1,'RA6-CHPP'!$A$9:$BN$9,1),FALSE),0)+IFERROR(VLOOKUP($B13,'RA7-Mine Infrastructure Area'!$A$11:$BN$18,MATCH(Summary!BI$1,'RA7-Mine Infrastructure Area'!$A$9:$BN$9,1),FALSE),0)+IFERROR(VLOOKUP($B13,'RA8-Water Management Structures'!$A$11:$BN$18,MATCH(Summary!BI$1,'RA8-Water Management Structures'!$A$9:$BN$9,1),FALSE),0)+IFERROR(VLOOKUP($B13,'RA9-Codisposal Upper'!$A$11:$BN$18,MATCH(Summary!BI$1,'RA9-Codisposal Upper'!$A$9:$BN$9,1),FALSE),0)+IFERROR(VLOOKUP($B13,'RA10-Codisposal Slopes'!$A$11:$BN$18,MATCH(Summary!BI$1,'RA10-Codisposal Slopes'!$A$9:$BN$9,1),FALSE),0)+IFERROR(VLOOKUP($B13,'IA1-Final Void inc Ramps'!$A$11:$BN$18,MATCH(Summary!BI$1,'IA1-Final Void inc Ramps'!$A$9:$BN$9,1),FALSE),0)</f>
        <v>407.303</v>
      </c>
      <c r="BJ13" s="47">
        <f>IFERROR(VLOOKUP($B13,'RA1- Elevated Dumps Upper'!$A$11:$BN$18,MATCH(Summary!BJ$1,'RA1- Elevated Dumps Upper'!$A$9:$BN$9,1),FALSE),0)+IFERROR(VLOOKUP($B13,'RA2-Elevated Dumps Slopes'!$A$11:$BN$18,MATCH(Summary!BJ$1,'RA2-Elevated Dumps Slopes'!$A$9:$BN$9,1),FALSE),0)+IFERROR(VLOOKUP($B13,'RA3-Backfilled Pits'!$A$11:$BN$18,MATCH(Summary!BJ$1,'RA3-Backfilled Pits'!$A$9:$BN$9,1),FALSE),0)+IFERROR(VLOOKUP($B13,'RA4-Tracks_Roads'!$A$11:$BN$18,MATCH(Summary!BJ$1,'RA4-Tracks_Roads'!$A$9:$BN$9,1),FALSE),0)+IFERROR(VLOOKUP($B13,'RA5-ROM'!$A$11:$BN$18,MATCH(Summary!BJ$1,'RA5-ROM'!$A$9:$BN$9,1),FALSE),0)+IFERROR(VLOOKUP($B13,'RA6-CHPP'!$A$11:$BN$18,MATCH(Summary!BJ$1,'RA6-CHPP'!$A$9:$BN$9,1),FALSE),0)+IFERROR(VLOOKUP($B13,'RA7-Mine Infrastructure Area'!$A$11:$BN$18,MATCH(Summary!BJ$1,'RA7-Mine Infrastructure Area'!$A$9:$BN$9,1),FALSE),0)+IFERROR(VLOOKUP($B13,'RA8-Water Management Structures'!$A$11:$BN$18,MATCH(Summary!BJ$1,'RA8-Water Management Structures'!$A$9:$BN$9,1),FALSE),0)+IFERROR(VLOOKUP($B13,'RA9-Codisposal Upper'!$A$11:$BN$18,MATCH(Summary!BJ$1,'RA9-Codisposal Upper'!$A$9:$BN$9,1),FALSE),0)+IFERROR(VLOOKUP($B13,'RA10-Codisposal Slopes'!$A$11:$BN$18,MATCH(Summary!BJ$1,'RA10-Codisposal Slopes'!$A$9:$BN$9,1),FALSE),0)+IFERROR(VLOOKUP($B13,'IA1-Final Void inc Ramps'!$A$11:$BN$18,MATCH(Summary!BJ$1,'IA1-Final Void inc Ramps'!$A$9:$BN$9,1),FALSE),0)</f>
        <v>407.303</v>
      </c>
      <c r="BK13" s="47">
        <f>IFERROR(VLOOKUP($B13,'RA1- Elevated Dumps Upper'!$A$11:$BN$18,MATCH(Summary!BK$1,'RA1- Elevated Dumps Upper'!$A$9:$BN$9,1),FALSE),0)+IFERROR(VLOOKUP($B13,'RA2-Elevated Dumps Slopes'!$A$11:$BN$18,MATCH(Summary!BK$1,'RA2-Elevated Dumps Slopes'!$A$9:$BN$9,1),FALSE),0)+IFERROR(VLOOKUP($B13,'RA3-Backfilled Pits'!$A$11:$BN$18,MATCH(Summary!BK$1,'RA3-Backfilled Pits'!$A$9:$BN$9,1),FALSE),0)+IFERROR(VLOOKUP($B13,'RA4-Tracks_Roads'!$A$11:$BN$18,MATCH(Summary!BK$1,'RA4-Tracks_Roads'!$A$9:$BN$9,1),FALSE),0)+IFERROR(VLOOKUP($B13,'RA5-ROM'!$A$11:$BN$18,MATCH(Summary!BK$1,'RA5-ROM'!$A$9:$BN$9,1),FALSE),0)+IFERROR(VLOOKUP($B13,'RA6-CHPP'!$A$11:$BN$18,MATCH(Summary!BK$1,'RA6-CHPP'!$A$9:$BN$9,1),FALSE),0)+IFERROR(VLOOKUP($B13,'RA7-Mine Infrastructure Area'!$A$11:$BN$18,MATCH(Summary!BK$1,'RA7-Mine Infrastructure Area'!$A$9:$BN$9,1),FALSE),0)+IFERROR(VLOOKUP($B13,'RA8-Water Management Structures'!$A$11:$BN$18,MATCH(Summary!BK$1,'RA8-Water Management Structures'!$A$9:$BN$9,1),FALSE),0)+IFERROR(VLOOKUP($B13,'RA9-Codisposal Upper'!$A$11:$BN$18,MATCH(Summary!BK$1,'RA9-Codisposal Upper'!$A$9:$BN$9,1),FALSE),0)+IFERROR(VLOOKUP($B13,'RA10-Codisposal Slopes'!$A$11:$BN$18,MATCH(Summary!BK$1,'RA10-Codisposal Slopes'!$A$9:$BN$9,1),FALSE),0)+IFERROR(VLOOKUP($B13,'IA1-Final Void inc Ramps'!$A$11:$BN$18,MATCH(Summary!BK$1,'IA1-Final Void inc Ramps'!$A$9:$BN$9,1),FALSE),0)</f>
        <v>407.303</v>
      </c>
      <c r="BL13" s="47">
        <f>IFERROR(VLOOKUP($B13,'RA1- Elevated Dumps Upper'!$A$11:$BN$18,MATCH(Summary!BL$1,'RA1- Elevated Dumps Upper'!$A$9:$BN$9,1),FALSE),0)+IFERROR(VLOOKUP($B13,'RA2-Elevated Dumps Slopes'!$A$11:$BN$18,MATCH(Summary!BL$1,'RA2-Elevated Dumps Slopes'!$A$9:$BN$9,1),FALSE),0)+IFERROR(VLOOKUP($B13,'RA3-Backfilled Pits'!$A$11:$BN$18,MATCH(Summary!BL$1,'RA3-Backfilled Pits'!$A$9:$BN$9,1),FALSE),0)+IFERROR(VLOOKUP($B13,'RA4-Tracks_Roads'!$A$11:$BN$18,MATCH(Summary!BL$1,'RA4-Tracks_Roads'!$A$9:$BN$9,1),FALSE),0)+IFERROR(VLOOKUP($B13,'RA5-ROM'!$A$11:$BN$18,MATCH(Summary!BL$1,'RA5-ROM'!$A$9:$BN$9,1),FALSE),0)+IFERROR(VLOOKUP($B13,'RA6-CHPP'!$A$11:$BN$18,MATCH(Summary!BL$1,'RA6-CHPP'!$A$9:$BN$9,1),FALSE),0)+IFERROR(VLOOKUP($B13,'RA7-Mine Infrastructure Area'!$A$11:$BN$18,MATCH(Summary!BL$1,'RA7-Mine Infrastructure Area'!$A$9:$BN$9,1),FALSE),0)+IFERROR(VLOOKUP($B13,'RA8-Water Management Structures'!$A$11:$BN$18,MATCH(Summary!BL$1,'RA8-Water Management Structures'!$A$9:$BN$9,1),FALSE),0)+IFERROR(VLOOKUP($B13,'RA9-Codisposal Upper'!$A$11:$BN$18,MATCH(Summary!BL$1,'RA9-Codisposal Upper'!$A$9:$BN$9,1),FALSE),0)+IFERROR(VLOOKUP($B13,'RA10-Codisposal Slopes'!$A$11:$BN$18,MATCH(Summary!BL$1,'RA10-Codisposal Slopes'!$A$9:$BN$9,1),FALSE),0)+IFERROR(VLOOKUP($B13,'IA1-Final Void inc Ramps'!$A$11:$BN$18,MATCH(Summary!BL$1,'IA1-Final Void inc Ramps'!$A$9:$BN$9,1),FALSE),0)</f>
        <v>407.303</v>
      </c>
      <c r="BM13" s="47">
        <f>IFERROR(VLOOKUP($B13,'RA1- Elevated Dumps Upper'!$A$11:$BN$18,MATCH(Summary!BM$1,'RA1- Elevated Dumps Upper'!$A$9:$BN$9,1),FALSE),0)+IFERROR(VLOOKUP($B13,'RA2-Elevated Dumps Slopes'!$A$11:$BN$18,MATCH(Summary!BM$1,'RA2-Elevated Dumps Slopes'!$A$9:$BN$9,1),FALSE),0)+IFERROR(VLOOKUP($B13,'RA3-Backfilled Pits'!$A$11:$BN$18,MATCH(Summary!BM$1,'RA3-Backfilled Pits'!$A$9:$BN$9,1),FALSE),0)+IFERROR(VLOOKUP($B13,'RA4-Tracks_Roads'!$A$11:$BN$18,MATCH(Summary!BM$1,'RA4-Tracks_Roads'!$A$9:$BN$9,1),FALSE),0)+IFERROR(VLOOKUP($B13,'RA5-ROM'!$A$11:$BN$18,MATCH(Summary!BM$1,'RA5-ROM'!$A$9:$BN$9,1),FALSE),0)+IFERROR(VLOOKUP($B13,'RA6-CHPP'!$A$11:$BN$18,MATCH(Summary!BM$1,'RA6-CHPP'!$A$9:$BN$9,1),FALSE),0)+IFERROR(VLOOKUP($B13,'RA7-Mine Infrastructure Area'!$A$11:$BN$18,MATCH(Summary!BM$1,'RA7-Mine Infrastructure Area'!$A$9:$BN$9,1),FALSE),0)+IFERROR(VLOOKUP($B13,'RA8-Water Management Structures'!$A$11:$BN$18,MATCH(Summary!BM$1,'RA8-Water Management Structures'!$A$9:$BN$9,1),FALSE),0)+IFERROR(VLOOKUP($B13,'RA9-Codisposal Upper'!$A$11:$BN$18,MATCH(Summary!BM$1,'RA9-Codisposal Upper'!$A$9:$BN$9,1),FALSE),0)+IFERROR(VLOOKUP($B13,'RA10-Codisposal Slopes'!$A$11:$BN$18,MATCH(Summary!BM$1,'RA10-Codisposal Slopes'!$A$9:$BN$9,1),FALSE),0)+IFERROR(VLOOKUP($B13,'IA1-Final Void inc Ramps'!$A$11:$BN$18,MATCH(Summary!BM$1,'IA1-Final Void inc Ramps'!$A$9:$BN$9,1),FALSE),0)</f>
        <v>407.303</v>
      </c>
      <c r="BN13" s="47">
        <f>IFERROR(VLOOKUP($B13,'RA1- Elevated Dumps Upper'!$A$11:$BN$18,MATCH(Summary!BN$1,'RA1- Elevated Dumps Upper'!$A$9:$BN$9,1),FALSE),0)+IFERROR(VLOOKUP($B13,'RA2-Elevated Dumps Slopes'!$A$11:$BN$18,MATCH(Summary!BN$1,'RA2-Elevated Dumps Slopes'!$A$9:$BN$9,1),FALSE),0)+IFERROR(VLOOKUP($B13,'RA3-Backfilled Pits'!$A$11:$BN$18,MATCH(Summary!BN$1,'RA3-Backfilled Pits'!$A$9:$BN$9,1),FALSE),0)+IFERROR(VLOOKUP($B13,'RA4-Tracks_Roads'!$A$11:$BN$18,MATCH(Summary!BN$1,'RA4-Tracks_Roads'!$A$9:$BN$9,1),FALSE),0)+IFERROR(VLOOKUP($B13,'RA5-ROM'!$A$11:$BN$18,MATCH(Summary!BN$1,'RA5-ROM'!$A$9:$BN$9,1),FALSE),0)+IFERROR(VLOOKUP($B13,'RA6-CHPP'!$A$11:$BN$18,MATCH(Summary!BN$1,'RA6-CHPP'!$A$9:$BN$9,1),FALSE),0)+IFERROR(VLOOKUP($B13,'RA7-Mine Infrastructure Area'!$A$11:$BN$18,MATCH(Summary!BN$1,'RA7-Mine Infrastructure Area'!$A$9:$BN$9,1),FALSE),0)+IFERROR(VLOOKUP($B13,'RA8-Water Management Structures'!$A$11:$BN$18,MATCH(Summary!BN$1,'RA8-Water Management Structures'!$A$9:$BN$9,1),FALSE),0)+IFERROR(VLOOKUP($B13,'RA9-Codisposal Upper'!$A$11:$BN$18,MATCH(Summary!BN$1,'RA9-Codisposal Upper'!$A$9:$BN$9,1),FALSE),0)+IFERROR(VLOOKUP($B13,'RA10-Codisposal Slopes'!$A$11:$BN$18,MATCH(Summary!BN$1,'RA10-Codisposal Slopes'!$A$9:$BN$9,1),FALSE),0)+IFERROR(VLOOKUP($B13,'IA1-Final Void inc Ramps'!$A$11:$BN$18,MATCH(Summary!BN$1,'IA1-Final Void inc Ramps'!$A$9:$BN$9,1),FALSE),0)</f>
        <v>407.303</v>
      </c>
    </row>
    <row r="14" spans="1:66" x14ac:dyDescent="0.35">
      <c r="B14" t="s">
        <v>14</v>
      </c>
      <c r="D14" s="47">
        <f>IFERROR(VLOOKUP($B14,'RA1- Elevated Dumps Upper'!$A$11:$BN$18,MATCH(Summary!D$1,'RA1- Elevated Dumps Upper'!$A$9:$BN$9,1),FALSE),0)+IFERROR(VLOOKUP($B14,'RA2-Elevated Dumps Slopes'!$A$11:$BN$18,MATCH(Summary!D$1,'RA2-Elevated Dumps Slopes'!$A$9:$BN$9,1),FALSE),0)+IFERROR(VLOOKUP($B14,'RA3-Backfilled Pits'!$A$11:$BN$18,MATCH(Summary!D$1,'RA3-Backfilled Pits'!$A$9:$BN$9,1),FALSE),0)+IFERROR(VLOOKUP($B14,'RA4-Tracks_Roads'!$A$11:$BN$18,MATCH(Summary!D$1,'RA4-Tracks_Roads'!$A$9:$BN$9,1),FALSE),0)+IFERROR(VLOOKUP($B14,'RA5-ROM'!$A$11:$BN$18,MATCH(Summary!D$1,'RA5-ROM'!$A$9:$BN$9,1),FALSE),0)+IFERROR(VLOOKUP($B14,'RA6-CHPP'!$A$11:$BN$18,MATCH(Summary!D$1,'RA6-CHPP'!$A$9:$BN$9,1),FALSE),0)+IFERROR(VLOOKUP($B14,'RA7-Mine Infrastructure Area'!$A$11:$BN$18,MATCH(Summary!D$1,'RA7-Mine Infrastructure Area'!$A$9:$BN$9,1),FALSE),0)+IFERROR(VLOOKUP($B14,'RA8-Water Management Structures'!$A$11:$BN$18,MATCH(Summary!D$1,'RA8-Water Management Structures'!$A$9:$BN$9,1),FALSE),0)+IFERROR(VLOOKUP($B14,'RA9-Codisposal Upper'!$A$11:$BN$18,MATCH(Summary!D$1,'RA9-Codisposal Upper'!$A$9:$BN$9,1),FALSE),0)+IFERROR(VLOOKUP($B14,'RA10-Codisposal Slopes'!$A$11:$BN$18,MATCH(Summary!D$1,'RA10-Codisposal Slopes'!$A$9:$BN$9,1),FALSE),0)+IFERROR(VLOOKUP($B14,'IA1-Final Void inc Ramps'!$A$11:$BN$18,MATCH(Summary!D$1,'IA1-Final Void inc Ramps'!$A$9:$BN$9,1),FALSE),0)</f>
        <v>0</v>
      </c>
      <c r="E14" s="47">
        <f>IFERROR(VLOOKUP($B14,'RA1- Elevated Dumps Upper'!$A$11:$BN$18,MATCH(Summary!E$1,'RA1- Elevated Dumps Upper'!$A$9:$BN$9,1),FALSE),0)+IFERROR(VLOOKUP($B14,'RA2-Elevated Dumps Slopes'!$A$11:$BN$18,MATCH(Summary!E$1,'RA2-Elevated Dumps Slopes'!$A$9:$BN$9,1),FALSE),0)+IFERROR(VLOOKUP($B14,'RA3-Backfilled Pits'!$A$11:$BN$18,MATCH(Summary!E$1,'RA3-Backfilled Pits'!$A$9:$BN$9,1),FALSE),0)+IFERROR(VLOOKUP($B14,'RA4-Tracks_Roads'!$A$11:$BN$18,MATCH(Summary!E$1,'RA4-Tracks_Roads'!$A$9:$BN$9,1),FALSE),0)+IFERROR(VLOOKUP($B14,'RA5-ROM'!$A$11:$BN$18,MATCH(Summary!E$1,'RA5-ROM'!$A$9:$BN$9,1),FALSE),0)+IFERROR(VLOOKUP($B14,'RA6-CHPP'!$A$11:$BN$18,MATCH(Summary!E$1,'RA6-CHPP'!$A$9:$BN$9,1),FALSE),0)+IFERROR(VLOOKUP($B14,'RA7-Mine Infrastructure Area'!$A$11:$BN$18,MATCH(Summary!E$1,'RA7-Mine Infrastructure Area'!$A$9:$BN$9,1),FALSE),0)+IFERROR(VLOOKUP($B14,'RA8-Water Management Structures'!$A$11:$BN$18,MATCH(Summary!E$1,'RA8-Water Management Structures'!$A$9:$BN$9,1),FALSE),0)+IFERROR(VLOOKUP($B14,'RA9-Codisposal Upper'!$A$11:$BN$18,MATCH(Summary!E$1,'RA9-Codisposal Upper'!$A$9:$BN$9,1),FALSE),0)+IFERROR(VLOOKUP($B14,'RA10-Codisposal Slopes'!$A$11:$BN$18,MATCH(Summary!E$1,'RA10-Codisposal Slopes'!$A$9:$BN$9,1),FALSE),0)+IFERROR(VLOOKUP($B14,'IA1-Final Void inc Ramps'!$A$11:$BN$18,MATCH(Summary!E$1,'IA1-Final Void inc Ramps'!$A$9:$BN$9,1),FALSE),0)</f>
        <v>0</v>
      </c>
      <c r="F14" s="47">
        <f>IFERROR(VLOOKUP($B14,'RA1- Elevated Dumps Upper'!$A$11:$BN$18,MATCH(Summary!F$1,'RA1- Elevated Dumps Upper'!$A$9:$BN$9,1),FALSE),0)+IFERROR(VLOOKUP($B14,'RA2-Elevated Dumps Slopes'!$A$11:$BN$18,MATCH(Summary!F$1,'RA2-Elevated Dumps Slopes'!$A$9:$BN$9,1),FALSE),0)+IFERROR(VLOOKUP($B14,'RA3-Backfilled Pits'!$A$11:$BN$18,MATCH(Summary!F$1,'RA3-Backfilled Pits'!$A$9:$BN$9,1),FALSE),0)+IFERROR(VLOOKUP($B14,'RA4-Tracks_Roads'!$A$11:$BN$18,MATCH(Summary!F$1,'RA4-Tracks_Roads'!$A$9:$BN$9,1),FALSE),0)+IFERROR(VLOOKUP($B14,'RA5-ROM'!$A$11:$BN$18,MATCH(Summary!F$1,'RA5-ROM'!$A$9:$BN$9,1),FALSE),0)+IFERROR(VLOOKUP($B14,'RA6-CHPP'!$A$11:$BN$18,MATCH(Summary!F$1,'RA6-CHPP'!$A$9:$BN$9,1),FALSE),0)+IFERROR(VLOOKUP($B14,'RA7-Mine Infrastructure Area'!$A$11:$BN$18,MATCH(Summary!F$1,'RA7-Mine Infrastructure Area'!$A$9:$BN$9,1),FALSE),0)+IFERROR(VLOOKUP($B14,'RA8-Water Management Structures'!$A$11:$BN$18,MATCH(Summary!F$1,'RA8-Water Management Structures'!$A$9:$BN$9,1),FALSE),0)+IFERROR(VLOOKUP($B14,'RA9-Codisposal Upper'!$A$11:$BN$18,MATCH(Summary!F$1,'RA9-Codisposal Upper'!$A$9:$BN$9,1),FALSE),0)+IFERROR(VLOOKUP($B14,'RA10-Codisposal Slopes'!$A$11:$BN$18,MATCH(Summary!F$1,'RA10-Codisposal Slopes'!$A$9:$BN$9,1),FALSE),0)+IFERROR(VLOOKUP($B14,'IA1-Final Void inc Ramps'!$A$11:$BN$18,MATCH(Summary!F$1,'IA1-Final Void inc Ramps'!$A$9:$BN$9,1),FALSE),0)</f>
        <v>0</v>
      </c>
      <c r="G14" s="47">
        <f>IFERROR(VLOOKUP($B14,'RA1- Elevated Dumps Upper'!$A$11:$BN$18,MATCH(Summary!G$1,'RA1- Elevated Dumps Upper'!$A$9:$BN$9,1),FALSE),0)+IFERROR(VLOOKUP($B14,'RA2-Elevated Dumps Slopes'!$A$11:$BN$18,MATCH(Summary!G$1,'RA2-Elevated Dumps Slopes'!$A$9:$BN$9,1),FALSE),0)+IFERROR(VLOOKUP($B14,'RA3-Backfilled Pits'!$A$11:$BN$18,MATCH(Summary!G$1,'RA3-Backfilled Pits'!$A$9:$BN$9,1),FALSE),0)+IFERROR(VLOOKUP($B14,'RA4-Tracks_Roads'!$A$11:$BN$18,MATCH(Summary!G$1,'RA4-Tracks_Roads'!$A$9:$BN$9,1),FALSE),0)+IFERROR(VLOOKUP($B14,'RA5-ROM'!$A$11:$BN$18,MATCH(Summary!G$1,'RA5-ROM'!$A$9:$BN$9,1),FALSE),0)+IFERROR(VLOOKUP($B14,'RA6-CHPP'!$A$11:$BN$18,MATCH(Summary!G$1,'RA6-CHPP'!$A$9:$BN$9,1),FALSE),0)+IFERROR(VLOOKUP($B14,'RA7-Mine Infrastructure Area'!$A$11:$BN$18,MATCH(Summary!G$1,'RA7-Mine Infrastructure Area'!$A$9:$BN$9,1),FALSE),0)+IFERROR(VLOOKUP($B14,'RA8-Water Management Structures'!$A$11:$BN$18,MATCH(Summary!G$1,'RA8-Water Management Structures'!$A$9:$BN$9,1),FALSE),0)+IFERROR(VLOOKUP($B14,'RA9-Codisposal Upper'!$A$11:$BN$18,MATCH(Summary!G$1,'RA9-Codisposal Upper'!$A$9:$BN$9,1),FALSE),0)+IFERROR(VLOOKUP($B14,'RA10-Codisposal Slopes'!$A$11:$BN$18,MATCH(Summary!G$1,'RA10-Codisposal Slopes'!$A$9:$BN$9,1),FALSE),0)+IFERROR(VLOOKUP($B14,'IA1-Final Void inc Ramps'!$A$11:$BN$18,MATCH(Summary!G$1,'IA1-Final Void inc Ramps'!$A$9:$BN$9,1),FALSE),0)</f>
        <v>0</v>
      </c>
      <c r="H14" s="47">
        <f>IFERROR(VLOOKUP($B14,'RA1- Elevated Dumps Upper'!$A$11:$BN$18,MATCH(Summary!H$1,'RA1- Elevated Dumps Upper'!$A$9:$BN$9,1),FALSE),0)+IFERROR(VLOOKUP($B14,'RA2-Elevated Dumps Slopes'!$A$11:$BN$18,MATCH(Summary!H$1,'RA2-Elevated Dumps Slopes'!$A$9:$BN$9,1),FALSE),0)+IFERROR(VLOOKUP($B14,'RA3-Backfilled Pits'!$A$11:$BN$18,MATCH(Summary!H$1,'RA3-Backfilled Pits'!$A$9:$BN$9,1),FALSE),0)+IFERROR(VLOOKUP($B14,'RA4-Tracks_Roads'!$A$11:$BN$18,MATCH(Summary!H$1,'RA4-Tracks_Roads'!$A$9:$BN$9,1),FALSE),0)+IFERROR(VLOOKUP($B14,'RA5-ROM'!$A$11:$BN$18,MATCH(Summary!H$1,'RA5-ROM'!$A$9:$BN$9,1),FALSE),0)+IFERROR(VLOOKUP($B14,'RA6-CHPP'!$A$11:$BN$18,MATCH(Summary!H$1,'RA6-CHPP'!$A$9:$BN$9,1),FALSE),0)+IFERROR(VLOOKUP($B14,'RA7-Mine Infrastructure Area'!$A$11:$BN$18,MATCH(Summary!H$1,'RA7-Mine Infrastructure Area'!$A$9:$BN$9,1),FALSE),0)+IFERROR(VLOOKUP($B14,'RA8-Water Management Structures'!$A$11:$BN$18,MATCH(Summary!H$1,'RA8-Water Management Structures'!$A$9:$BN$9,1),FALSE),0)+IFERROR(VLOOKUP($B14,'RA9-Codisposal Upper'!$A$11:$BN$18,MATCH(Summary!H$1,'RA9-Codisposal Upper'!$A$9:$BN$9,1),FALSE),0)+IFERROR(VLOOKUP($B14,'RA10-Codisposal Slopes'!$A$11:$BN$18,MATCH(Summary!H$1,'RA10-Codisposal Slopes'!$A$9:$BN$9,1),FALSE),0)+IFERROR(VLOOKUP($B14,'IA1-Final Void inc Ramps'!$A$11:$BN$18,MATCH(Summary!H$1,'IA1-Final Void inc Ramps'!$A$9:$BN$9,1),FALSE),0)</f>
        <v>0</v>
      </c>
      <c r="I14" s="47">
        <f>IFERROR(VLOOKUP($B14,'RA1- Elevated Dumps Upper'!$A$11:$BN$18,MATCH(Summary!I$1,'RA1- Elevated Dumps Upper'!$A$9:$BN$9,1),FALSE),0)+IFERROR(VLOOKUP($B14,'RA2-Elevated Dumps Slopes'!$A$11:$BN$18,MATCH(Summary!I$1,'RA2-Elevated Dumps Slopes'!$A$9:$BN$9,1),FALSE),0)+IFERROR(VLOOKUP($B14,'RA3-Backfilled Pits'!$A$11:$BN$18,MATCH(Summary!I$1,'RA3-Backfilled Pits'!$A$9:$BN$9,1),FALSE),0)+IFERROR(VLOOKUP($B14,'RA4-Tracks_Roads'!$A$11:$BN$18,MATCH(Summary!I$1,'RA4-Tracks_Roads'!$A$9:$BN$9,1),FALSE),0)+IFERROR(VLOOKUP($B14,'RA5-ROM'!$A$11:$BN$18,MATCH(Summary!I$1,'RA5-ROM'!$A$9:$BN$9,1),FALSE),0)+IFERROR(VLOOKUP($B14,'RA6-CHPP'!$A$11:$BN$18,MATCH(Summary!I$1,'RA6-CHPP'!$A$9:$BN$9,1),FALSE),0)+IFERROR(VLOOKUP($B14,'RA7-Mine Infrastructure Area'!$A$11:$BN$18,MATCH(Summary!I$1,'RA7-Mine Infrastructure Area'!$A$9:$BN$9,1),FALSE),0)+IFERROR(VLOOKUP($B14,'RA8-Water Management Structures'!$A$11:$BN$18,MATCH(Summary!I$1,'RA8-Water Management Structures'!$A$9:$BN$9,1),FALSE),0)+IFERROR(VLOOKUP($B14,'RA9-Codisposal Upper'!$A$11:$BN$18,MATCH(Summary!I$1,'RA9-Codisposal Upper'!$A$9:$BN$9,1),FALSE),0)+IFERROR(VLOOKUP($B14,'RA10-Codisposal Slopes'!$A$11:$BN$18,MATCH(Summary!I$1,'RA10-Codisposal Slopes'!$A$9:$BN$9,1),FALSE),0)+IFERROR(VLOOKUP($B14,'IA1-Final Void inc Ramps'!$A$11:$BN$18,MATCH(Summary!I$1,'IA1-Final Void inc Ramps'!$A$9:$BN$9,1),FALSE),0)</f>
        <v>0</v>
      </c>
      <c r="J14" s="47">
        <f>IFERROR(VLOOKUP($B14,'RA1- Elevated Dumps Upper'!$A$11:$BN$18,MATCH(Summary!J$1,'RA1- Elevated Dumps Upper'!$A$9:$BN$9,1),FALSE),0)+IFERROR(VLOOKUP($B14,'RA2-Elevated Dumps Slopes'!$A$11:$BN$18,MATCH(Summary!J$1,'RA2-Elevated Dumps Slopes'!$A$9:$BN$9,1),FALSE),0)+IFERROR(VLOOKUP($B14,'RA3-Backfilled Pits'!$A$11:$BN$18,MATCH(Summary!J$1,'RA3-Backfilled Pits'!$A$9:$BN$9,1),FALSE),0)+IFERROR(VLOOKUP($B14,'RA4-Tracks_Roads'!$A$11:$BN$18,MATCH(Summary!J$1,'RA4-Tracks_Roads'!$A$9:$BN$9,1),FALSE),0)+IFERROR(VLOOKUP($B14,'RA5-ROM'!$A$11:$BN$18,MATCH(Summary!J$1,'RA5-ROM'!$A$9:$BN$9,1),FALSE),0)+IFERROR(VLOOKUP($B14,'RA6-CHPP'!$A$11:$BN$18,MATCH(Summary!J$1,'RA6-CHPP'!$A$9:$BN$9,1),FALSE),0)+IFERROR(VLOOKUP($B14,'RA7-Mine Infrastructure Area'!$A$11:$BN$18,MATCH(Summary!J$1,'RA7-Mine Infrastructure Area'!$A$9:$BN$9,1),FALSE),0)+IFERROR(VLOOKUP($B14,'RA8-Water Management Structures'!$A$11:$BN$18,MATCH(Summary!J$1,'RA8-Water Management Structures'!$A$9:$BN$9,1),FALSE),0)+IFERROR(VLOOKUP($B14,'RA9-Codisposal Upper'!$A$11:$BN$18,MATCH(Summary!J$1,'RA9-Codisposal Upper'!$A$9:$BN$9,1),FALSE),0)+IFERROR(VLOOKUP($B14,'RA10-Codisposal Slopes'!$A$11:$BN$18,MATCH(Summary!J$1,'RA10-Codisposal Slopes'!$A$9:$BN$9,1),FALSE),0)+IFERROR(VLOOKUP($B14,'IA1-Final Void inc Ramps'!$A$11:$BN$18,MATCH(Summary!J$1,'IA1-Final Void inc Ramps'!$A$9:$BN$9,1),FALSE),0)</f>
        <v>0</v>
      </c>
      <c r="K14" s="47">
        <f>IFERROR(VLOOKUP($B14,'RA1- Elevated Dumps Upper'!$A$11:$BN$18,MATCH(Summary!K$1,'RA1- Elevated Dumps Upper'!$A$9:$BN$9,1),FALSE),0)+IFERROR(VLOOKUP($B14,'RA2-Elevated Dumps Slopes'!$A$11:$BN$18,MATCH(Summary!K$1,'RA2-Elevated Dumps Slopes'!$A$9:$BN$9,1),FALSE),0)+IFERROR(VLOOKUP($B14,'RA3-Backfilled Pits'!$A$11:$BN$18,MATCH(Summary!K$1,'RA3-Backfilled Pits'!$A$9:$BN$9,1),FALSE),0)+IFERROR(VLOOKUP($B14,'RA4-Tracks_Roads'!$A$11:$BN$18,MATCH(Summary!K$1,'RA4-Tracks_Roads'!$A$9:$BN$9,1),FALSE),0)+IFERROR(VLOOKUP($B14,'RA5-ROM'!$A$11:$BN$18,MATCH(Summary!K$1,'RA5-ROM'!$A$9:$BN$9,1),FALSE),0)+IFERROR(VLOOKUP($B14,'RA6-CHPP'!$A$11:$BN$18,MATCH(Summary!K$1,'RA6-CHPP'!$A$9:$BN$9,1),FALSE),0)+IFERROR(VLOOKUP($B14,'RA7-Mine Infrastructure Area'!$A$11:$BN$18,MATCH(Summary!K$1,'RA7-Mine Infrastructure Area'!$A$9:$BN$9,1),FALSE),0)+IFERROR(VLOOKUP($B14,'RA8-Water Management Structures'!$A$11:$BN$18,MATCH(Summary!K$1,'RA8-Water Management Structures'!$A$9:$BN$9,1),FALSE),0)+IFERROR(VLOOKUP($B14,'RA9-Codisposal Upper'!$A$11:$BN$18,MATCH(Summary!K$1,'RA9-Codisposal Upper'!$A$9:$BN$9,1),FALSE),0)+IFERROR(VLOOKUP($B14,'RA10-Codisposal Slopes'!$A$11:$BN$18,MATCH(Summary!K$1,'RA10-Codisposal Slopes'!$A$9:$BN$9,1),FALSE),0)+IFERROR(VLOOKUP($B14,'IA1-Final Void inc Ramps'!$A$11:$BN$18,MATCH(Summary!K$1,'IA1-Final Void inc Ramps'!$A$9:$BN$9,1),FALSE),0)</f>
        <v>33.869</v>
      </c>
      <c r="L14" s="47">
        <f>IFERROR(VLOOKUP($B14,'RA1- Elevated Dumps Upper'!$A$11:$BN$18,MATCH(Summary!L$1,'RA1- Elevated Dumps Upper'!$A$9:$BN$9,1),FALSE),0)+IFERROR(VLOOKUP($B14,'RA2-Elevated Dumps Slopes'!$A$11:$BN$18,MATCH(Summary!L$1,'RA2-Elevated Dumps Slopes'!$A$9:$BN$9,1),FALSE),0)+IFERROR(VLOOKUP($B14,'RA3-Backfilled Pits'!$A$11:$BN$18,MATCH(Summary!L$1,'RA3-Backfilled Pits'!$A$9:$BN$9,1),FALSE),0)+IFERROR(VLOOKUP($B14,'RA4-Tracks_Roads'!$A$11:$BN$18,MATCH(Summary!L$1,'RA4-Tracks_Roads'!$A$9:$BN$9,1),FALSE),0)+IFERROR(VLOOKUP($B14,'RA5-ROM'!$A$11:$BN$18,MATCH(Summary!L$1,'RA5-ROM'!$A$9:$BN$9,1),FALSE),0)+IFERROR(VLOOKUP($B14,'RA6-CHPP'!$A$11:$BN$18,MATCH(Summary!L$1,'RA6-CHPP'!$A$9:$BN$9,1),FALSE),0)+IFERROR(VLOOKUP($B14,'RA7-Mine Infrastructure Area'!$A$11:$BN$18,MATCH(Summary!L$1,'RA7-Mine Infrastructure Area'!$A$9:$BN$9,1),FALSE),0)+IFERROR(VLOOKUP($B14,'RA8-Water Management Structures'!$A$11:$BN$18,MATCH(Summary!L$1,'RA8-Water Management Structures'!$A$9:$BN$9,1),FALSE),0)+IFERROR(VLOOKUP($B14,'RA9-Codisposal Upper'!$A$11:$BN$18,MATCH(Summary!L$1,'RA9-Codisposal Upper'!$A$9:$BN$9,1),FALSE),0)+IFERROR(VLOOKUP($B14,'RA10-Codisposal Slopes'!$A$11:$BN$18,MATCH(Summary!L$1,'RA10-Codisposal Slopes'!$A$9:$BN$9,1),FALSE),0)+IFERROR(VLOOKUP($B14,'IA1-Final Void inc Ramps'!$A$11:$BN$18,MATCH(Summary!L$1,'IA1-Final Void inc Ramps'!$A$9:$BN$9,1),FALSE),0)</f>
        <v>78.697000000000003</v>
      </c>
      <c r="M14" s="47">
        <f>IFERROR(VLOOKUP($B14,'RA1- Elevated Dumps Upper'!$A$11:$BN$18,MATCH(Summary!M$1,'RA1- Elevated Dumps Upper'!$A$9:$BN$9,1),FALSE),0)+IFERROR(VLOOKUP($B14,'RA2-Elevated Dumps Slopes'!$A$11:$BN$18,MATCH(Summary!M$1,'RA2-Elevated Dumps Slopes'!$A$9:$BN$9,1),FALSE),0)+IFERROR(VLOOKUP($B14,'RA3-Backfilled Pits'!$A$11:$BN$18,MATCH(Summary!M$1,'RA3-Backfilled Pits'!$A$9:$BN$9,1),FALSE),0)+IFERROR(VLOOKUP($B14,'RA4-Tracks_Roads'!$A$11:$BN$18,MATCH(Summary!M$1,'RA4-Tracks_Roads'!$A$9:$BN$9,1),FALSE),0)+IFERROR(VLOOKUP($B14,'RA5-ROM'!$A$11:$BN$18,MATCH(Summary!M$1,'RA5-ROM'!$A$9:$BN$9,1),FALSE),0)+IFERROR(VLOOKUP($B14,'RA6-CHPP'!$A$11:$BN$18,MATCH(Summary!M$1,'RA6-CHPP'!$A$9:$BN$9,1),FALSE),0)+IFERROR(VLOOKUP($B14,'RA7-Mine Infrastructure Area'!$A$11:$BN$18,MATCH(Summary!M$1,'RA7-Mine Infrastructure Area'!$A$9:$BN$9,1),FALSE),0)+IFERROR(VLOOKUP($B14,'RA8-Water Management Structures'!$A$11:$BN$18,MATCH(Summary!M$1,'RA8-Water Management Structures'!$A$9:$BN$9,1),FALSE),0)+IFERROR(VLOOKUP($B14,'RA9-Codisposal Upper'!$A$11:$BN$18,MATCH(Summary!M$1,'RA9-Codisposal Upper'!$A$9:$BN$9,1),FALSE),0)+IFERROR(VLOOKUP($B14,'RA10-Codisposal Slopes'!$A$11:$BN$18,MATCH(Summary!M$1,'RA10-Codisposal Slopes'!$A$9:$BN$9,1),FALSE),0)+IFERROR(VLOOKUP($B14,'IA1-Final Void inc Ramps'!$A$11:$BN$18,MATCH(Summary!M$1,'IA1-Final Void inc Ramps'!$A$9:$BN$9,1),FALSE),0)</f>
        <v>129.40700000000001</v>
      </c>
      <c r="N14" s="47">
        <f>IFERROR(VLOOKUP($B14,'RA1- Elevated Dumps Upper'!$A$11:$BN$18,MATCH(Summary!N$1,'RA1- Elevated Dumps Upper'!$A$9:$BN$9,1),FALSE),0)+IFERROR(VLOOKUP($B14,'RA2-Elevated Dumps Slopes'!$A$11:$BN$18,MATCH(Summary!N$1,'RA2-Elevated Dumps Slopes'!$A$9:$BN$9,1),FALSE),0)+IFERROR(VLOOKUP($B14,'RA3-Backfilled Pits'!$A$11:$BN$18,MATCH(Summary!N$1,'RA3-Backfilled Pits'!$A$9:$BN$9,1),FALSE),0)+IFERROR(VLOOKUP($B14,'RA4-Tracks_Roads'!$A$11:$BN$18,MATCH(Summary!N$1,'RA4-Tracks_Roads'!$A$9:$BN$9,1),FALSE),0)+IFERROR(VLOOKUP($B14,'RA5-ROM'!$A$11:$BN$18,MATCH(Summary!N$1,'RA5-ROM'!$A$9:$BN$9,1),FALSE),0)+IFERROR(VLOOKUP($B14,'RA6-CHPP'!$A$11:$BN$18,MATCH(Summary!N$1,'RA6-CHPP'!$A$9:$BN$9,1),FALSE),0)+IFERROR(VLOOKUP($B14,'RA7-Mine Infrastructure Area'!$A$11:$BN$18,MATCH(Summary!N$1,'RA7-Mine Infrastructure Area'!$A$9:$BN$9,1),FALSE),0)+IFERROR(VLOOKUP($B14,'RA8-Water Management Structures'!$A$11:$BN$18,MATCH(Summary!N$1,'RA8-Water Management Structures'!$A$9:$BN$9,1),FALSE),0)+IFERROR(VLOOKUP($B14,'RA9-Codisposal Upper'!$A$11:$BN$18,MATCH(Summary!N$1,'RA9-Codisposal Upper'!$A$9:$BN$9,1),FALSE),0)+IFERROR(VLOOKUP($B14,'RA10-Codisposal Slopes'!$A$11:$BN$18,MATCH(Summary!N$1,'RA10-Codisposal Slopes'!$A$9:$BN$9,1),FALSE),0)+IFERROR(VLOOKUP($B14,'IA1-Final Void inc Ramps'!$A$11:$BN$18,MATCH(Summary!N$1,'IA1-Final Void inc Ramps'!$A$9:$BN$9,1),FALSE),0)</f>
        <v>241.43900000000002</v>
      </c>
      <c r="O14" s="47">
        <f>IFERROR(VLOOKUP($B14,'RA1- Elevated Dumps Upper'!$A$11:$BN$18,MATCH(Summary!O$1,'RA1- Elevated Dumps Upper'!$A$9:$BN$9,1),FALSE),0)+IFERROR(VLOOKUP($B14,'RA2-Elevated Dumps Slopes'!$A$11:$BN$18,MATCH(Summary!O$1,'RA2-Elevated Dumps Slopes'!$A$9:$BN$9,1),FALSE),0)+IFERROR(VLOOKUP($B14,'RA3-Backfilled Pits'!$A$11:$BN$18,MATCH(Summary!O$1,'RA3-Backfilled Pits'!$A$9:$BN$9,1),FALSE),0)+IFERROR(VLOOKUP($B14,'RA4-Tracks_Roads'!$A$11:$BN$18,MATCH(Summary!O$1,'RA4-Tracks_Roads'!$A$9:$BN$9,1),FALSE),0)+IFERROR(VLOOKUP($B14,'RA5-ROM'!$A$11:$BN$18,MATCH(Summary!O$1,'RA5-ROM'!$A$9:$BN$9,1),FALSE),0)+IFERROR(VLOOKUP($B14,'RA6-CHPP'!$A$11:$BN$18,MATCH(Summary!O$1,'RA6-CHPP'!$A$9:$BN$9,1),FALSE),0)+IFERROR(VLOOKUP($B14,'RA7-Mine Infrastructure Area'!$A$11:$BN$18,MATCH(Summary!O$1,'RA7-Mine Infrastructure Area'!$A$9:$BN$9,1),FALSE),0)+IFERROR(VLOOKUP($B14,'RA8-Water Management Structures'!$A$11:$BN$18,MATCH(Summary!O$1,'RA8-Water Management Structures'!$A$9:$BN$9,1),FALSE),0)+IFERROR(VLOOKUP($B14,'RA9-Codisposal Upper'!$A$11:$BN$18,MATCH(Summary!O$1,'RA9-Codisposal Upper'!$A$9:$BN$9,1),FALSE),0)+IFERROR(VLOOKUP($B14,'RA10-Codisposal Slopes'!$A$11:$BN$18,MATCH(Summary!O$1,'RA10-Codisposal Slopes'!$A$9:$BN$9,1),FALSE),0)+IFERROR(VLOOKUP($B14,'IA1-Final Void inc Ramps'!$A$11:$BN$18,MATCH(Summary!O$1,'IA1-Final Void inc Ramps'!$A$9:$BN$9,1),FALSE),0)</f>
        <v>433.27699999999999</v>
      </c>
      <c r="P14" s="47">
        <f>IFERROR(VLOOKUP($B14,'RA1- Elevated Dumps Upper'!$A$11:$BN$18,MATCH(Summary!P$1,'RA1- Elevated Dumps Upper'!$A$9:$BN$9,1),FALSE),0)+IFERROR(VLOOKUP($B14,'RA2-Elevated Dumps Slopes'!$A$11:$BN$18,MATCH(Summary!P$1,'RA2-Elevated Dumps Slopes'!$A$9:$BN$9,1),FALSE),0)+IFERROR(VLOOKUP($B14,'RA3-Backfilled Pits'!$A$11:$BN$18,MATCH(Summary!P$1,'RA3-Backfilled Pits'!$A$9:$BN$9,1),FALSE),0)+IFERROR(VLOOKUP($B14,'RA4-Tracks_Roads'!$A$11:$BN$18,MATCH(Summary!P$1,'RA4-Tracks_Roads'!$A$9:$BN$9,1),FALSE),0)+IFERROR(VLOOKUP($B14,'RA5-ROM'!$A$11:$BN$18,MATCH(Summary!P$1,'RA5-ROM'!$A$9:$BN$9,1),FALSE),0)+IFERROR(VLOOKUP($B14,'RA6-CHPP'!$A$11:$BN$18,MATCH(Summary!P$1,'RA6-CHPP'!$A$9:$BN$9,1),FALSE),0)+IFERROR(VLOOKUP($B14,'RA7-Mine Infrastructure Area'!$A$11:$BN$18,MATCH(Summary!P$1,'RA7-Mine Infrastructure Area'!$A$9:$BN$9,1),FALSE),0)+IFERROR(VLOOKUP($B14,'RA8-Water Management Structures'!$A$11:$BN$18,MATCH(Summary!P$1,'RA8-Water Management Structures'!$A$9:$BN$9,1),FALSE),0)+IFERROR(VLOOKUP($B14,'RA9-Codisposal Upper'!$A$11:$BN$18,MATCH(Summary!P$1,'RA9-Codisposal Upper'!$A$9:$BN$9,1),FALSE),0)+IFERROR(VLOOKUP($B14,'RA10-Codisposal Slopes'!$A$11:$BN$18,MATCH(Summary!P$1,'RA10-Codisposal Slopes'!$A$9:$BN$9,1),FALSE),0)+IFERROR(VLOOKUP($B14,'IA1-Final Void inc Ramps'!$A$11:$BN$18,MATCH(Summary!P$1,'IA1-Final Void inc Ramps'!$A$9:$BN$9,1),FALSE),0)</f>
        <v>509.03999999999996</v>
      </c>
      <c r="Q14" s="47">
        <f>IFERROR(VLOOKUP($B14,'RA1- Elevated Dumps Upper'!$A$11:$BN$18,MATCH(Summary!Q$1,'RA1- Elevated Dumps Upper'!$A$9:$BN$9,1),FALSE),0)+IFERROR(VLOOKUP($B14,'RA2-Elevated Dumps Slopes'!$A$11:$BN$18,MATCH(Summary!Q$1,'RA2-Elevated Dumps Slopes'!$A$9:$BN$9,1),FALSE),0)+IFERROR(VLOOKUP($B14,'RA3-Backfilled Pits'!$A$11:$BN$18,MATCH(Summary!Q$1,'RA3-Backfilled Pits'!$A$9:$BN$9,1),FALSE),0)+IFERROR(VLOOKUP($B14,'RA4-Tracks_Roads'!$A$11:$BN$18,MATCH(Summary!Q$1,'RA4-Tracks_Roads'!$A$9:$BN$9,1),FALSE),0)+IFERROR(VLOOKUP($B14,'RA5-ROM'!$A$11:$BN$18,MATCH(Summary!Q$1,'RA5-ROM'!$A$9:$BN$9,1),FALSE),0)+IFERROR(VLOOKUP($B14,'RA6-CHPP'!$A$11:$BN$18,MATCH(Summary!Q$1,'RA6-CHPP'!$A$9:$BN$9,1),FALSE),0)+IFERROR(VLOOKUP($B14,'RA7-Mine Infrastructure Area'!$A$11:$BN$18,MATCH(Summary!Q$1,'RA7-Mine Infrastructure Area'!$A$9:$BN$9,1),FALSE),0)+IFERROR(VLOOKUP($B14,'RA8-Water Management Structures'!$A$11:$BN$18,MATCH(Summary!Q$1,'RA8-Water Management Structures'!$A$9:$BN$9,1),FALSE),0)+IFERROR(VLOOKUP($B14,'RA9-Codisposal Upper'!$A$11:$BN$18,MATCH(Summary!Q$1,'RA9-Codisposal Upper'!$A$9:$BN$9,1),FALSE),0)+IFERROR(VLOOKUP($B14,'RA10-Codisposal Slopes'!$A$11:$BN$18,MATCH(Summary!Q$1,'RA10-Codisposal Slopes'!$A$9:$BN$9,1),FALSE),0)+IFERROR(VLOOKUP($B14,'IA1-Final Void inc Ramps'!$A$11:$BN$18,MATCH(Summary!Q$1,'IA1-Final Void inc Ramps'!$A$9:$BN$9,1),FALSE),0)</f>
        <v>543.51400000000001</v>
      </c>
      <c r="R14" s="47">
        <f>IFERROR(VLOOKUP($B14,'RA1- Elevated Dumps Upper'!$A$11:$BN$18,MATCH(Summary!R$1,'RA1- Elevated Dumps Upper'!$A$9:$BN$9,1),FALSE),0)+IFERROR(VLOOKUP($B14,'RA2-Elevated Dumps Slopes'!$A$11:$BN$18,MATCH(Summary!R$1,'RA2-Elevated Dumps Slopes'!$A$9:$BN$9,1),FALSE),0)+IFERROR(VLOOKUP($B14,'RA3-Backfilled Pits'!$A$11:$BN$18,MATCH(Summary!R$1,'RA3-Backfilled Pits'!$A$9:$BN$9,1),FALSE),0)+IFERROR(VLOOKUP($B14,'RA4-Tracks_Roads'!$A$11:$BN$18,MATCH(Summary!R$1,'RA4-Tracks_Roads'!$A$9:$BN$9,1),FALSE),0)+IFERROR(VLOOKUP($B14,'RA5-ROM'!$A$11:$BN$18,MATCH(Summary!R$1,'RA5-ROM'!$A$9:$BN$9,1),FALSE),0)+IFERROR(VLOOKUP($B14,'RA6-CHPP'!$A$11:$BN$18,MATCH(Summary!R$1,'RA6-CHPP'!$A$9:$BN$9,1),FALSE),0)+IFERROR(VLOOKUP($B14,'RA7-Mine Infrastructure Area'!$A$11:$BN$18,MATCH(Summary!R$1,'RA7-Mine Infrastructure Area'!$A$9:$BN$9,1),FALSE),0)+IFERROR(VLOOKUP($B14,'RA8-Water Management Structures'!$A$11:$BN$18,MATCH(Summary!R$1,'RA8-Water Management Structures'!$A$9:$BN$9,1),FALSE),0)+IFERROR(VLOOKUP($B14,'RA9-Codisposal Upper'!$A$11:$BN$18,MATCH(Summary!R$1,'RA9-Codisposal Upper'!$A$9:$BN$9,1),FALSE),0)+IFERROR(VLOOKUP($B14,'RA10-Codisposal Slopes'!$A$11:$BN$18,MATCH(Summary!R$1,'RA10-Codisposal Slopes'!$A$9:$BN$9,1),FALSE),0)+IFERROR(VLOOKUP($B14,'IA1-Final Void inc Ramps'!$A$11:$BN$18,MATCH(Summary!R$1,'IA1-Final Void inc Ramps'!$A$9:$BN$9,1),FALSE),0)</f>
        <v>601.03399999999999</v>
      </c>
      <c r="S14" s="47">
        <f>IFERROR(VLOOKUP($B14,'RA1- Elevated Dumps Upper'!$A$11:$BN$18,MATCH(Summary!S$1,'RA1- Elevated Dumps Upper'!$A$9:$BN$9,1),FALSE),0)+IFERROR(VLOOKUP($B14,'RA2-Elevated Dumps Slopes'!$A$11:$BN$18,MATCH(Summary!S$1,'RA2-Elevated Dumps Slopes'!$A$9:$BN$9,1),FALSE),0)+IFERROR(VLOOKUP($B14,'RA3-Backfilled Pits'!$A$11:$BN$18,MATCH(Summary!S$1,'RA3-Backfilled Pits'!$A$9:$BN$9,1),FALSE),0)+IFERROR(VLOOKUP($B14,'RA4-Tracks_Roads'!$A$11:$BN$18,MATCH(Summary!S$1,'RA4-Tracks_Roads'!$A$9:$BN$9,1),FALSE),0)+IFERROR(VLOOKUP($B14,'RA5-ROM'!$A$11:$BN$18,MATCH(Summary!S$1,'RA5-ROM'!$A$9:$BN$9,1),FALSE),0)+IFERROR(VLOOKUP($B14,'RA6-CHPP'!$A$11:$BN$18,MATCH(Summary!S$1,'RA6-CHPP'!$A$9:$BN$9,1),FALSE),0)+IFERROR(VLOOKUP($B14,'RA7-Mine Infrastructure Area'!$A$11:$BN$18,MATCH(Summary!S$1,'RA7-Mine Infrastructure Area'!$A$9:$BN$9,1),FALSE),0)+IFERROR(VLOOKUP($B14,'RA8-Water Management Structures'!$A$11:$BN$18,MATCH(Summary!S$1,'RA8-Water Management Structures'!$A$9:$BN$9,1),FALSE),0)+IFERROR(VLOOKUP($B14,'RA9-Codisposal Upper'!$A$11:$BN$18,MATCH(Summary!S$1,'RA9-Codisposal Upper'!$A$9:$BN$9,1),FALSE),0)+IFERROR(VLOOKUP($B14,'RA10-Codisposal Slopes'!$A$11:$BN$18,MATCH(Summary!S$1,'RA10-Codisposal Slopes'!$A$9:$BN$9,1),FALSE),0)+IFERROR(VLOOKUP($B14,'IA1-Final Void inc Ramps'!$A$11:$BN$18,MATCH(Summary!S$1,'IA1-Final Void inc Ramps'!$A$9:$BN$9,1),FALSE),0)</f>
        <v>657.9899999999999</v>
      </c>
      <c r="T14" s="47">
        <f>IFERROR(VLOOKUP($B14,'RA1- Elevated Dumps Upper'!$A$11:$BN$18,MATCH(Summary!T$1,'RA1- Elevated Dumps Upper'!$A$9:$BN$9,1),FALSE),0)+IFERROR(VLOOKUP($B14,'RA2-Elevated Dumps Slopes'!$A$11:$BN$18,MATCH(Summary!T$1,'RA2-Elevated Dumps Slopes'!$A$9:$BN$9,1),FALSE),0)+IFERROR(VLOOKUP($B14,'RA3-Backfilled Pits'!$A$11:$BN$18,MATCH(Summary!T$1,'RA3-Backfilled Pits'!$A$9:$BN$9,1),FALSE),0)+IFERROR(VLOOKUP($B14,'RA4-Tracks_Roads'!$A$11:$BN$18,MATCH(Summary!T$1,'RA4-Tracks_Roads'!$A$9:$BN$9,1),FALSE),0)+IFERROR(VLOOKUP($B14,'RA5-ROM'!$A$11:$BN$18,MATCH(Summary!T$1,'RA5-ROM'!$A$9:$BN$9,1),FALSE),0)+IFERROR(VLOOKUP($B14,'RA6-CHPP'!$A$11:$BN$18,MATCH(Summary!T$1,'RA6-CHPP'!$A$9:$BN$9,1),FALSE),0)+IFERROR(VLOOKUP($B14,'RA7-Mine Infrastructure Area'!$A$11:$BN$18,MATCH(Summary!T$1,'RA7-Mine Infrastructure Area'!$A$9:$BN$9,1),FALSE),0)+IFERROR(VLOOKUP($B14,'RA8-Water Management Structures'!$A$11:$BN$18,MATCH(Summary!T$1,'RA8-Water Management Structures'!$A$9:$BN$9,1),FALSE),0)+IFERROR(VLOOKUP($B14,'RA9-Codisposal Upper'!$A$11:$BN$18,MATCH(Summary!T$1,'RA9-Codisposal Upper'!$A$9:$BN$9,1),FALSE),0)+IFERROR(VLOOKUP($B14,'RA10-Codisposal Slopes'!$A$11:$BN$18,MATCH(Summary!T$1,'RA10-Codisposal Slopes'!$A$9:$BN$9,1),FALSE),0)+IFERROR(VLOOKUP($B14,'IA1-Final Void inc Ramps'!$A$11:$BN$18,MATCH(Summary!T$1,'IA1-Final Void inc Ramps'!$A$9:$BN$9,1),FALSE),0)</f>
        <v>680.76199999999994</v>
      </c>
      <c r="U14" s="47">
        <f>IFERROR(VLOOKUP($B14,'RA1- Elevated Dumps Upper'!$A$11:$BN$18,MATCH(Summary!U$1,'RA1- Elevated Dumps Upper'!$A$9:$BN$9,1),FALSE),0)+IFERROR(VLOOKUP($B14,'RA2-Elevated Dumps Slopes'!$A$11:$BN$18,MATCH(Summary!U$1,'RA2-Elevated Dumps Slopes'!$A$9:$BN$9,1),FALSE),0)+IFERROR(VLOOKUP($B14,'RA3-Backfilled Pits'!$A$11:$BN$18,MATCH(Summary!U$1,'RA3-Backfilled Pits'!$A$9:$BN$9,1),FALSE),0)+IFERROR(VLOOKUP($B14,'RA4-Tracks_Roads'!$A$11:$BN$18,MATCH(Summary!U$1,'RA4-Tracks_Roads'!$A$9:$BN$9,1),FALSE),0)+IFERROR(VLOOKUP($B14,'RA5-ROM'!$A$11:$BN$18,MATCH(Summary!U$1,'RA5-ROM'!$A$9:$BN$9,1),FALSE),0)+IFERROR(VLOOKUP($B14,'RA6-CHPP'!$A$11:$BN$18,MATCH(Summary!U$1,'RA6-CHPP'!$A$9:$BN$9,1),FALSE),0)+IFERROR(VLOOKUP($B14,'RA7-Mine Infrastructure Area'!$A$11:$BN$18,MATCH(Summary!U$1,'RA7-Mine Infrastructure Area'!$A$9:$BN$9,1),FALSE),0)+IFERROR(VLOOKUP($B14,'RA8-Water Management Structures'!$A$11:$BN$18,MATCH(Summary!U$1,'RA8-Water Management Structures'!$A$9:$BN$9,1),FALSE),0)+IFERROR(VLOOKUP($B14,'RA9-Codisposal Upper'!$A$11:$BN$18,MATCH(Summary!U$1,'RA9-Codisposal Upper'!$A$9:$BN$9,1),FALSE),0)+IFERROR(VLOOKUP($B14,'RA10-Codisposal Slopes'!$A$11:$BN$18,MATCH(Summary!U$1,'RA10-Codisposal Slopes'!$A$9:$BN$9,1),FALSE),0)+IFERROR(VLOOKUP($B14,'IA1-Final Void inc Ramps'!$A$11:$BN$18,MATCH(Summary!U$1,'IA1-Final Void inc Ramps'!$A$9:$BN$9,1),FALSE),0)</f>
        <v>701.06399999999985</v>
      </c>
      <c r="V14" s="47">
        <f>IFERROR(VLOOKUP($B14,'RA1- Elevated Dumps Upper'!$A$11:$BN$18,MATCH(Summary!V$1,'RA1- Elevated Dumps Upper'!$A$9:$BN$9,1),FALSE),0)+IFERROR(VLOOKUP($B14,'RA2-Elevated Dumps Slopes'!$A$11:$BN$18,MATCH(Summary!V$1,'RA2-Elevated Dumps Slopes'!$A$9:$BN$9,1),FALSE),0)+IFERROR(VLOOKUP($B14,'RA3-Backfilled Pits'!$A$11:$BN$18,MATCH(Summary!V$1,'RA3-Backfilled Pits'!$A$9:$BN$9,1),FALSE),0)+IFERROR(VLOOKUP($B14,'RA4-Tracks_Roads'!$A$11:$BN$18,MATCH(Summary!V$1,'RA4-Tracks_Roads'!$A$9:$BN$9,1),FALSE),0)+IFERROR(VLOOKUP($B14,'RA5-ROM'!$A$11:$BN$18,MATCH(Summary!V$1,'RA5-ROM'!$A$9:$BN$9,1),FALSE),0)+IFERROR(VLOOKUP($B14,'RA6-CHPP'!$A$11:$BN$18,MATCH(Summary!V$1,'RA6-CHPP'!$A$9:$BN$9,1),FALSE),0)+IFERROR(VLOOKUP($B14,'RA7-Mine Infrastructure Area'!$A$11:$BN$18,MATCH(Summary!V$1,'RA7-Mine Infrastructure Area'!$A$9:$BN$9,1),FALSE),0)+IFERROR(VLOOKUP($B14,'RA8-Water Management Structures'!$A$11:$BN$18,MATCH(Summary!V$1,'RA8-Water Management Structures'!$A$9:$BN$9,1),FALSE),0)+IFERROR(VLOOKUP($B14,'RA9-Codisposal Upper'!$A$11:$BN$18,MATCH(Summary!V$1,'RA9-Codisposal Upper'!$A$9:$BN$9,1),FALSE),0)+IFERROR(VLOOKUP($B14,'RA10-Codisposal Slopes'!$A$11:$BN$18,MATCH(Summary!V$1,'RA10-Codisposal Slopes'!$A$9:$BN$9,1),FALSE),0)+IFERROR(VLOOKUP($B14,'IA1-Final Void inc Ramps'!$A$11:$BN$18,MATCH(Summary!V$1,'IA1-Final Void inc Ramps'!$A$9:$BN$9,1),FALSE),0)</f>
        <v>701.06399999999985</v>
      </c>
      <c r="W14" s="47">
        <f>IFERROR(VLOOKUP($B14,'RA1- Elevated Dumps Upper'!$A$11:$BN$18,MATCH(Summary!W$1,'RA1- Elevated Dumps Upper'!$A$9:$BN$9,1),FALSE),0)+IFERROR(VLOOKUP($B14,'RA2-Elevated Dumps Slopes'!$A$11:$BN$18,MATCH(Summary!W$1,'RA2-Elevated Dumps Slopes'!$A$9:$BN$9,1),FALSE),0)+IFERROR(VLOOKUP($B14,'RA3-Backfilled Pits'!$A$11:$BN$18,MATCH(Summary!W$1,'RA3-Backfilled Pits'!$A$9:$BN$9,1),FALSE),0)+IFERROR(VLOOKUP($B14,'RA4-Tracks_Roads'!$A$11:$BN$18,MATCH(Summary!W$1,'RA4-Tracks_Roads'!$A$9:$BN$9,1),FALSE),0)+IFERROR(VLOOKUP($B14,'RA5-ROM'!$A$11:$BN$18,MATCH(Summary!W$1,'RA5-ROM'!$A$9:$BN$9,1),FALSE),0)+IFERROR(VLOOKUP($B14,'RA6-CHPP'!$A$11:$BN$18,MATCH(Summary!W$1,'RA6-CHPP'!$A$9:$BN$9,1),FALSE),0)+IFERROR(VLOOKUP($B14,'RA7-Mine Infrastructure Area'!$A$11:$BN$18,MATCH(Summary!W$1,'RA7-Mine Infrastructure Area'!$A$9:$BN$9,1),FALSE),0)+IFERROR(VLOOKUP($B14,'RA8-Water Management Structures'!$A$11:$BN$18,MATCH(Summary!W$1,'RA8-Water Management Structures'!$A$9:$BN$9,1),FALSE),0)+IFERROR(VLOOKUP($B14,'RA9-Codisposal Upper'!$A$11:$BN$18,MATCH(Summary!W$1,'RA9-Codisposal Upper'!$A$9:$BN$9,1),FALSE),0)+IFERROR(VLOOKUP($B14,'RA10-Codisposal Slopes'!$A$11:$BN$18,MATCH(Summary!W$1,'RA10-Codisposal Slopes'!$A$9:$BN$9,1),FALSE),0)+IFERROR(VLOOKUP($B14,'IA1-Final Void inc Ramps'!$A$11:$BN$18,MATCH(Summary!W$1,'IA1-Final Void inc Ramps'!$A$9:$BN$9,1),FALSE),0)</f>
        <v>725.3119999999999</v>
      </c>
      <c r="X14" s="47">
        <f>IFERROR(VLOOKUP($B14,'RA1- Elevated Dumps Upper'!$A$11:$BN$18,MATCH(Summary!X$1,'RA1- Elevated Dumps Upper'!$A$9:$BN$9,1),FALSE),0)+IFERROR(VLOOKUP($B14,'RA2-Elevated Dumps Slopes'!$A$11:$BN$18,MATCH(Summary!X$1,'RA2-Elevated Dumps Slopes'!$A$9:$BN$9,1),FALSE),0)+IFERROR(VLOOKUP($B14,'RA3-Backfilled Pits'!$A$11:$BN$18,MATCH(Summary!X$1,'RA3-Backfilled Pits'!$A$9:$BN$9,1),FALSE),0)+IFERROR(VLOOKUP($B14,'RA4-Tracks_Roads'!$A$11:$BN$18,MATCH(Summary!X$1,'RA4-Tracks_Roads'!$A$9:$BN$9,1),FALSE),0)+IFERROR(VLOOKUP($B14,'RA5-ROM'!$A$11:$BN$18,MATCH(Summary!X$1,'RA5-ROM'!$A$9:$BN$9,1),FALSE),0)+IFERROR(VLOOKUP($B14,'RA6-CHPP'!$A$11:$BN$18,MATCH(Summary!X$1,'RA6-CHPP'!$A$9:$BN$9,1),FALSE),0)+IFERROR(VLOOKUP($B14,'RA7-Mine Infrastructure Area'!$A$11:$BN$18,MATCH(Summary!X$1,'RA7-Mine Infrastructure Area'!$A$9:$BN$9,1),FALSE),0)+IFERROR(VLOOKUP($B14,'RA8-Water Management Structures'!$A$11:$BN$18,MATCH(Summary!X$1,'RA8-Water Management Structures'!$A$9:$BN$9,1),FALSE),0)+IFERROR(VLOOKUP($B14,'RA9-Codisposal Upper'!$A$11:$BN$18,MATCH(Summary!X$1,'RA9-Codisposal Upper'!$A$9:$BN$9,1),FALSE),0)+IFERROR(VLOOKUP($B14,'RA10-Codisposal Slopes'!$A$11:$BN$18,MATCH(Summary!X$1,'RA10-Codisposal Slopes'!$A$9:$BN$9,1),FALSE),0)+IFERROR(VLOOKUP($B14,'IA1-Final Void inc Ramps'!$A$11:$BN$18,MATCH(Summary!X$1,'IA1-Final Void inc Ramps'!$A$9:$BN$9,1),FALSE),0)</f>
        <v>759.93</v>
      </c>
      <c r="Y14" s="47">
        <f>IFERROR(VLOOKUP($B14,'RA1- Elevated Dumps Upper'!$A$11:$BN$18,MATCH(Summary!Y$1,'RA1- Elevated Dumps Upper'!$A$9:$BN$9,1),FALSE),0)+IFERROR(VLOOKUP($B14,'RA2-Elevated Dumps Slopes'!$A$11:$BN$18,MATCH(Summary!Y$1,'RA2-Elevated Dumps Slopes'!$A$9:$BN$9,1),FALSE),0)+IFERROR(VLOOKUP($B14,'RA3-Backfilled Pits'!$A$11:$BN$18,MATCH(Summary!Y$1,'RA3-Backfilled Pits'!$A$9:$BN$9,1),FALSE),0)+IFERROR(VLOOKUP($B14,'RA4-Tracks_Roads'!$A$11:$BN$18,MATCH(Summary!Y$1,'RA4-Tracks_Roads'!$A$9:$BN$9,1),FALSE),0)+IFERROR(VLOOKUP($B14,'RA5-ROM'!$A$11:$BN$18,MATCH(Summary!Y$1,'RA5-ROM'!$A$9:$BN$9,1),FALSE),0)+IFERROR(VLOOKUP($B14,'RA6-CHPP'!$A$11:$BN$18,MATCH(Summary!Y$1,'RA6-CHPP'!$A$9:$BN$9,1),FALSE),0)+IFERROR(VLOOKUP($B14,'RA7-Mine Infrastructure Area'!$A$11:$BN$18,MATCH(Summary!Y$1,'RA7-Mine Infrastructure Area'!$A$9:$BN$9,1),FALSE),0)+IFERROR(VLOOKUP($B14,'RA8-Water Management Structures'!$A$11:$BN$18,MATCH(Summary!Y$1,'RA8-Water Management Structures'!$A$9:$BN$9,1),FALSE),0)+IFERROR(VLOOKUP($B14,'RA9-Codisposal Upper'!$A$11:$BN$18,MATCH(Summary!Y$1,'RA9-Codisposal Upper'!$A$9:$BN$9,1),FALSE),0)+IFERROR(VLOOKUP($B14,'RA10-Codisposal Slopes'!$A$11:$BN$18,MATCH(Summary!Y$1,'RA10-Codisposal Slopes'!$A$9:$BN$9,1),FALSE),0)+IFERROR(VLOOKUP($B14,'IA1-Final Void inc Ramps'!$A$11:$BN$18,MATCH(Summary!Y$1,'IA1-Final Void inc Ramps'!$A$9:$BN$9,1),FALSE),0)</f>
        <v>825.22</v>
      </c>
      <c r="Z14" s="47">
        <f>IFERROR(VLOOKUP($B14,'RA1- Elevated Dumps Upper'!$A$11:$BN$18,MATCH(Summary!Z$1,'RA1- Elevated Dumps Upper'!$A$9:$BN$9,1),FALSE),0)+IFERROR(VLOOKUP($B14,'RA2-Elevated Dumps Slopes'!$A$11:$BN$18,MATCH(Summary!Z$1,'RA2-Elevated Dumps Slopes'!$A$9:$BN$9,1),FALSE),0)+IFERROR(VLOOKUP($B14,'RA3-Backfilled Pits'!$A$11:$BN$18,MATCH(Summary!Z$1,'RA3-Backfilled Pits'!$A$9:$BN$9,1),FALSE),0)+IFERROR(VLOOKUP($B14,'RA4-Tracks_Roads'!$A$11:$BN$18,MATCH(Summary!Z$1,'RA4-Tracks_Roads'!$A$9:$BN$9,1),FALSE),0)+IFERROR(VLOOKUP($B14,'RA5-ROM'!$A$11:$BN$18,MATCH(Summary!Z$1,'RA5-ROM'!$A$9:$BN$9,1),FALSE),0)+IFERROR(VLOOKUP($B14,'RA6-CHPP'!$A$11:$BN$18,MATCH(Summary!Z$1,'RA6-CHPP'!$A$9:$BN$9,1),FALSE),0)+IFERROR(VLOOKUP($B14,'RA7-Mine Infrastructure Area'!$A$11:$BN$18,MATCH(Summary!Z$1,'RA7-Mine Infrastructure Area'!$A$9:$BN$9,1),FALSE),0)+IFERROR(VLOOKUP($B14,'RA8-Water Management Structures'!$A$11:$BN$18,MATCH(Summary!Z$1,'RA8-Water Management Structures'!$A$9:$BN$9,1),FALSE),0)+IFERROR(VLOOKUP($B14,'RA9-Codisposal Upper'!$A$11:$BN$18,MATCH(Summary!Z$1,'RA9-Codisposal Upper'!$A$9:$BN$9,1),FALSE),0)+IFERROR(VLOOKUP($B14,'RA10-Codisposal Slopes'!$A$11:$BN$18,MATCH(Summary!Z$1,'RA10-Codisposal Slopes'!$A$9:$BN$9,1),FALSE),0)+IFERROR(VLOOKUP($B14,'IA1-Final Void inc Ramps'!$A$11:$BN$18,MATCH(Summary!Z$1,'IA1-Final Void inc Ramps'!$A$9:$BN$9,1),FALSE),0)</f>
        <v>860.49299999999994</v>
      </c>
      <c r="AA14" s="47">
        <f>IFERROR(VLOOKUP($B14,'RA1- Elevated Dumps Upper'!$A$11:$BN$18,MATCH(Summary!AA$1,'RA1- Elevated Dumps Upper'!$A$9:$BN$9,1),FALSE),0)+IFERROR(VLOOKUP($B14,'RA2-Elevated Dumps Slopes'!$A$11:$BN$18,MATCH(Summary!AA$1,'RA2-Elevated Dumps Slopes'!$A$9:$BN$9,1),FALSE),0)+IFERROR(VLOOKUP($B14,'RA3-Backfilled Pits'!$A$11:$BN$18,MATCH(Summary!AA$1,'RA3-Backfilled Pits'!$A$9:$BN$9,1),FALSE),0)+IFERROR(VLOOKUP($B14,'RA4-Tracks_Roads'!$A$11:$BN$18,MATCH(Summary!AA$1,'RA4-Tracks_Roads'!$A$9:$BN$9,1),FALSE),0)+IFERROR(VLOOKUP($B14,'RA5-ROM'!$A$11:$BN$18,MATCH(Summary!AA$1,'RA5-ROM'!$A$9:$BN$9,1),FALSE),0)+IFERROR(VLOOKUP($B14,'RA6-CHPP'!$A$11:$BN$18,MATCH(Summary!AA$1,'RA6-CHPP'!$A$9:$BN$9,1),FALSE),0)+IFERROR(VLOOKUP($B14,'RA7-Mine Infrastructure Area'!$A$11:$BN$18,MATCH(Summary!AA$1,'RA7-Mine Infrastructure Area'!$A$9:$BN$9,1),FALSE),0)+IFERROR(VLOOKUP($B14,'RA8-Water Management Structures'!$A$11:$BN$18,MATCH(Summary!AA$1,'RA8-Water Management Structures'!$A$9:$BN$9,1),FALSE),0)+IFERROR(VLOOKUP($B14,'RA9-Codisposal Upper'!$A$11:$BN$18,MATCH(Summary!AA$1,'RA9-Codisposal Upper'!$A$9:$BN$9,1),FALSE),0)+IFERROR(VLOOKUP($B14,'RA10-Codisposal Slopes'!$A$11:$BN$18,MATCH(Summary!AA$1,'RA10-Codisposal Slopes'!$A$9:$BN$9,1),FALSE),0)+IFERROR(VLOOKUP($B14,'IA1-Final Void inc Ramps'!$A$11:$BN$18,MATCH(Summary!AA$1,'IA1-Final Void inc Ramps'!$A$9:$BN$9,1),FALSE),0)</f>
        <v>860.49299999999994</v>
      </c>
      <c r="AB14" s="47">
        <f>IFERROR(VLOOKUP($B14,'RA1- Elevated Dumps Upper'!$A$11:$BN$18,MATCH(Summary!AB$1,'RA1- Elevated Dumps Upper'!$A$9:$BN$9,1),FALSE),0)+IFERROR(VLOOKUP($B14,'RA2-Elevated Dumps Slopes'!$A$11:$BN$18,MATCH(Summary!AB$1,'RA2-Elevated Dumps Slopes'!$A$9:$BN$9,1),FALSE),0)+IFERROR(VLOOKUP($B14,'RA3-Backfilled Pits'!$A$11:$BN$18,MATCH(Summary!AB$1,'RA3-Backfilled Pits'!$A$9:$BN$9,1),FALSE),0)+IFERROR(VLOOKUP($B14,'RA4-Tracks_Roads'!$A$11:$BN$18,MATCH(Summary!AB$1,'RA4-Tracks_Roads'!$A$9:$BN$9,1),FALSE),0)+IFERROR(VLOOKUP($B14,'RA5-ROM'!$A$11:$BN$18,MATCH(Summary!AB$1,'RA5-ROM'!$A$9:$BN$9,1),FALSE),0)+IFERROR(VLOOKUP($B14,'RA6-CHPP'!$A$11:$BN$18,MATCH(Summary!AB$1,'RA6-CHPP'!$A$9:$BN$9,1),FALSE),0)+IFERROR(VLOOKUP($B14,'RA7-Mine Infrastructure Area'!$A$11:$BN$18,MATCH(Summary!AB$1,'RA7-Mine Infrastructure Area'!$A$9:$BN$9,1),FALSE),0)+IFERROR(VLOOKUP($B14,'RA8-Water Management Structures'!$A$11:$BN$18,MATCH(Summary!AB$1,'RA8-Water Management Structures'!$A$9:$BN$9,1),FALSE),0)+IFERROR(VLOOKUP($B14,'RA9-Codisposal Upper'!$A$11:$BN$18,MATCH(Summary!AB$1,'RA9-Codisposal Upper'!$A$9:$BN$9,1),FALSE),0)+IFERROR(VLOOKUP($B14,'RA10-Codisposal Slopes'!$A$11:$BN$18,MATCH(Summary!AB$1,'RA10-Codisposal Slopes'!$A$9:$BN$9,1),FALSE),0)+IFERROR(VLOOKUP($B14,'IA1-Final Void inc Ramps'!$A$11:$BN$18,MATCH(Summary!AB$1,'IA1-Final Void inc Ramps'!$A$9:$BN$9,1),FALSE),0)</f>
        <v>860.49299999999994</v>
      </c>
      <c r="AC14" s="47">
        <f>IFERROR(VLOOKUP($B14,'RA1- Elevated Dumps Upper'!$A$11:$BN$18,MATCH(Summary!AC$1,'RA1- Elevated Dumps Upper'!$A$9:$BN$9,1),FALSE),0)+IFERROR(VLOOKUP($B14,'RA2-Elevated Dumps Slopes'!$A$11:$BN$18,MATCH(Summary!AC$1,'RA2-Elevated Dumps Slopes'!$A$9:$BN$9,1),FALSE),0)+IFERROR(VLOOKUP($B14,'RA3-Backfilled Pits'!$A$11:$BN$18,MATCH(Summary!AC$1,'RA3-Backfilled Pits'!$A$9:$BN$9,1),FALSE),0)+IFERROR(VLOOKUP($B14,'RA4-Tracks_Roads'!$A$11:$BN$18,MATCH(Summary!AC$1,'RA4-Tracks_Roads'!$A$9:$BN$9,1),FALSE),0)+IFERROR(VLOOKUP($B14,'RA5-ROM'!$A$11:$BN$18,MATCH(Summary!AC$1,'RA5-ROM'!$A$9:$BN$9,1),FALSE),0)+IFERROR(VLOOKUP($B14,'RA6-CHPP'!$A$11:$BN$18,MATCH(Summary!AC$1,'RA6-CHPP'!$A$9:$BN$9,1),FALSE),0)+IFERROR(VLOOKUP($B14,'RA7-Mine Infrastructure Area'!$A$11:$BN$18,MATCH(Summary!AC$1,'RA7-Mine Infrastructure Area'!$A$9:$BN$9,1),FALSE),0)+IFERROR(VLOOKUP($B14,'RA8-Water Management Structures'!$A$11:$BN$18,MATCH(Summary!AC$1,'RA8-Water Management Structures'!$A$9:$BN$9,1),FALSE),0)+IFERROR(VLOOKUP($B14,'RA9-Codisposal Upper'!$A$11:$BN$18,MATCH(Summary!AC$1,'RA9-Codisposal Upper'!$A$9:$BN$9,1),FALSE),0)+IFERROR(VLOOKUP($B14,'RA10-Codisposal Slopes'!$A$11:$BN$18,MATCH(Summary!AC$1,'RA10-Codisposal Slopes'!$A$9:$BN$9,1),FALSE),0)+IFERROR(VLOOKUP($B14,'IA1-Final Void inc Ramps'!$A$11:$BN$18,MATCH(Summary!AC$1,'IA1-Final Void inc Ramps'!$A$9:$BN$9,1),FALSE),0)</f>
        <v>895.03099999999995</v>
      </c>
      <c r="AD14" s="47">
        <f>IFERROR(VLOOKUP($B14,'RA1- Elevated Dumps Upper'!$A$11:$BN$18,MATCH(Summary!AD$1,'RA1- Elevated Dumps Upper'!$A$9:$BN$9,1),FALSE),0)+IFERROR(VLOOKUP($B14,'RA2-Elevated Dumps Slopes'!$A$11:$BN$18,MATCH(Summary!AD$1,'RA2-Elevated Dumps Slopes'!$A$9:$BN$9,1),FALSE),0)+IFERROR(VLOOKUP($B14,'RA3-Backfilled Pits'!$A$11:$BN$18,MATCH(Summary!AD$1,'RA3-Backfilled Pits'!$A$9:$BN$9,1),FALSE),0)+IFERROR(VLOOKUP($B14,'RA4-Tracks_Roads'!$A$11:$BN$18,MATCH(Summary!AD$1,'RA4-Tracks_Roads'!$A$9:$BN$9,1),FALSE),0)+IFERROR(VLOOKUP($B14,'RA5-ROM'!$A$11:$BN$18,MATCH(Summary!AD$1,'RA5-ROM'!$A$9:$BN$9,1),FALSE),0)+IFERROR(VLOOKUP($B14,'RA6-CHPP'!$A$11:$BN$18,MATCH(Summary!AD$1,'RA6-CHPP'!$A$9:$BN$9,1),FALSE),0)+IFERROR(VLOOKUP($B14,'RA7-Mine Infrastructure Area'!$A$11:$BN$18,MATCH(Summary!AD$1,'RA7-Mine Infrastructure Area'!$A$9:$BN$9,1),FALSE),0)+IFERROR(VLOOKUP($B14,'RA8-Water Management Structures'!$A$11:$BN$18,MATCH(Summary!AD$1,'RA8-Water Management Structures'!$A$9:$BN$9,1),FALSE),0)+IFERROR(VLOOKUP($B14,'RA9-Codisposal Upper'!$A$11:$BN$18,MATCH(Summary!AD$1,'RA9-Codisposal Upper'!$A$9:$BN$9,1),FALSE),0)+IFERROR(VLOOKUP($B14,'RA10-Codisposal Slopes'!$A$11:$BN$18,MATCH(Summary!AD$1,'RA10-Codisposal Slopes'!$A$9:$BN$9,1),FALSE),0)+IFERROR(VLOOKUP($B14,'IA1-Final Void inc Ramps'!$A$11:$BN$18,MATCH(Summary!AD$1,'IA1-Final Void inc Ramps'!$A$9:$BN$9,1),FALSE),0)</f>
        <v>895.03099999999995</v>
      </c>
      <c r="AE14" s="47">
        <f>IFERROR(VLOOKUP($B14,'RA1- Elevated Dumps Upper'!$A$11:$BN$18,MATCH(Summary!AE$1,'RA1- Elevated Dumps Upper'!$A$9:$BN$9,1),FALSE),0)+IFERROR(VLOOKUP($B14,'RA2-Elevated Dumps Slopes'!$A$11:$BN$18,MATCH(Summary!AE$1,'RA2-Elevated Dumps Slopes'!$A$9:$BN$9,1),FALSE),0)+IFERROR(VLOOKUP($B14,'RA3-Backfilled Pits'!$A$11:$BN$18,MATCH(Summary!AE$1,'RA3-Backfilled Pits'!$A$9:$BN$9,1),FALSE),0)+IFERROR(VLOOKUP($B14,'RA4-Tracks_Roads'!$A$11:$BN$18,MATCH(Summary!AE$1,'RA4-Tracks_Roads'!$A$9:$BN$9,1),FALSE),0)+IFERROR(VLOOKUP($B14,'RA5-ROM'!$A$11:$BN$18,MATCH(Summary!AE$1,'RA5-ROM'!$A$9:$BN$9,1),FALSE),0)+IFERROR(VLOOKUP($B14,'RA6-CHPP'!$A$11:$BN$18,MATCH(Summary!AE$1,'RA6-CHPP'!$A$9:$BN$9,1),FALSE),0)+IFERROR(VLOOKUP($B14,'RA7-Mine Infrastructure Area'!$A$11:$BN$18,MATCH(Summary!AE$1,'RA7-Mine Infrastructure Area'!$A$9:$BN$9,1),FALSE),0)+IFERROR(VLOOKUP($B14,'RA8-Water Management Structures'!$A$11:$BN$18,MATCH(Summary!AE$1,'RA8-Water Management Structures'!$A$9:$BN$9,1),FALSE),0)+IFERROR(VLOOKUP($B14,'RA9-Codisposal Upper'!$A$11:$BN$18,MATCH(Summary!AE$1,'RA9-Codisposal Upper'!$A$9:$BN$9,1),FALSE),0)+IFERROR(VLOOKUP($B14,'RA10-Codisposal Slopes'!$A$11:$BN$18,MATCH(Summary!AE$1,'RA10-Codisposal Slopes'!$A$9:$BN$9,1),FALSE),0)+IFERROR(VLOOKUP($B14,'IA1-Final Void inc Ramps'!$A$11:$BN$18,MATCH(Summary!AE$1,'IA1-Final Void inc Ramps'!$A$9:$BN$9,1),FALSE),0)</f>
        <v>895.03099999999995</v>
      </c>
      <c r="AF14" s="47">
        <f>IFERROR(VLOOKUP($B14,'RA1- Elevated Dumps Upper'!$A$11:$BN$18,MATCH(Summary!AF$1,'RA1- Elevated Dumps Upper'!$A$9:$BN$9,1),FALSE),0)+IFERROR(VLOOKUP($B14,'RA2-Elevated Dumps Slopes'!$A$11:$BN$18,MATCH(Summary!AF$1,'RA2-Elevated Dumps Slopes'!$A$9:$BN$9,1),FALSE),0)+IFERROR(VLOOKUP($B14,'RA3-Backfilled Pits'!$A$11:$BN$18,MATCH(Summary!AF$1,'RA3-Backfilled Pits'!$A$9:$BN$9,1),FALSE),0)+IFERROR(VLOOKUP($B14,'RA4-Tracks_Roads'!$A$11:$BN$18,MATCH(Summary!AF$1,'RA4-Tracks_Roads'!$A$9:$BN$9,1),FALSE),0)+IFERROR(VLOOKUP($B14,'RA5-ROM'!$A$11:$BN$18,MATCH(Summary!AF$1,'RA5-ROM'!$A$9:$BN$9,1),FALSE),0)+IFERROR(VLOOKUP($B14,'RA6-CHPP'!$A$11:$BN$18,MATCH(Summary!AF$1,'RA6-CHPP'!$A$9:$BN$9,1),FALSE),0)+IFERROR(VLOOKUP($B14,'RA7-Mine Infrastructure Area'!$A$11:$BN$18,MATCH(Summary!AF$1,'RA7-Mine Infrastructure Area'!$A$9:$BN$9,1),FALSE),0)+IFERROR(VLOOKUP($B14,'RA8-Water Management Structures'!$A$11:$BN$18,MATCH(Summary!AF$1,'RA8-Water Management Structures'!$A$9:$BN$9,1),FALSE),0)+IFERROR(VLOOKUP($B14,'RA9-Codisposal Upper'!$A$11:$BN$18,MATCH(Summary!AF$1,'RA9-Codisposal Upper'!$A$9:$BN$9,1),FALSE),0)+IFERROR(VLOOKUP($B14,'RA10-Codisposal Slopes'!$A$11:$BN$18,MATCH(Summary!AF$1,'RA10-Codisposal Slopes'!$A$9:$BN$9,1),FALSE),0)+IFERROR(VLOOKUP($B14,'IA1-Final Void inc Ramps'!$A$11:$BN$18,MATCH(Summary!AF$1,'IA1-Final Void inc Ramps'!$A$9:$BN$9,1),FALSE),0)</f>
        <v>1204.8519999999999</v>
      </c>
      <c r="AG14" s="47">
        <f>IFERROR(VLOOKUP($B14,'RA1- Elevated Dumps Upper'!$A$11:$BN$18,MATCH(Summary!AG$1,'RA1- Elevated Dumps Upper'!$A$9:$BN$9,1),FALSE),0)+IFERROR(VLOOKUP($B14,'RA2-Elevated Dumps Slopes'!$A$11:$BN$18,MATCH(Summary!AG$1,'RA2-Elevated Dumps Slopes'!$A$9:$BN$9,1),FALSE),0)+IFERROR(VLOOKUP($B14,'RA3-Backfilled Pits'!$A$11:$BN$18,MATCH(Summary!AG$1,'RA3-Backfilled Pits'!$A$9:$BN$9,1),FALSE),0)+IFERROR(VLOOKUP($B14,'RA4-Tracks_Roads'!$A$11:$BN$18,MATCH(Summary!AG$1,'RA4-Tracks_Roads'!$A$9:$BN$9,1),FALSE),0)+IFERROR(VLOOKUP($B14,'RA5-ROM'!$A$11:$BN$18,MATCH(Summary!AG$1,'RA5-ROM'!$A$9:$BN$9,1),FALSE),0)+IFERROR(VLOOKUP($B14,'RA6-CHPP'!$A$11:$BN$18,MATCH(Summary!AG$1,'RA6-CHPP'!$A$9:$BN$9,1),FALSE),0)+IFERROR(VLOOKUP($B14,'RA7-Mine Infrastructure Area'!$A$11:$BN$18,MATCH(Summary!AG$1,'RA7-Mine Infrastructure Area'!$A$9:$BN$9,1),FALSE),0)+IFERROR(VLOOKUP($B14,'RA8-Water Management Structures'!$A$11:$BN$18,MATCH(Summary!AG$1,'RA8-Water Management Structures'!$A$9:$BN$9,1),FALSE),0)+IFERROR(VLOOKUP($B14,'RA9-Codisposal Upper'!$A$11:$BN$18,MATCH(Summary!AG$1,'RA9-Codisposal Upper'!$A$9:$BN$9,1),FALSE),0)+IFERROR(VLOOKUP($B14,'RA10-Codisposal Slopes'!$A$11:$BN$18,MATCH(Summary!AG$1,'RA10-Codisposal Slopes'!$A$9:$BN$9,1),FALSE),0)+IFERROR(VLOOKUP($B14,'IA1-Final Void inc Ramps'!$A$11:$BN$18,MATCH(Summary!AG$1,'IA1-Final Void inc Ramps'!$A$9:$BN$9,1),FALSE),0)</f>
        <v>1421.7450000000001</v>
      </c>
      <c r="AH14" s="47">
        <f>IFERROR(VLOOKUP($B14,'RA1- Elevated Dumps Upper'!$A$11:$BN$18,MATCH(Summary!AH$1,'RA1- Elevated Dumps Upper'!$A$9:$BN$9,1),FALSE),0)+IFERROR(VLOOKUP($B14,'RA2-Elevated Dumps Slopes'!$A$11:$BN$18,MATCH(Summary!AH$1,'RA2-Elevated Dumps Slopes'!$A$9:$BN$9,1),FALSE),0)+IFERROR(VLOOKUP($B14,'RA3-Backfilled Pits'!$A$11:$BN$18,MATCH(Summary!AH$1,'RA3-Backfilled Pits'!$A$9:$BN$9,1),FALSE),0)+IFERROR(VLOOKUP($B14,'RA4-Tracks_Roads'!$A$11:$BN$18,MATCH(Summary!AH$1,'RA4-Tracks_Roads'!$A$9:$BN$9,1),FALSE),0)+IFERROR(VLOOKUP($B14,'RA5-ROM'!$A$11:$BN$18,MATCH(Summary!AH$1,'RA5-ROM'!$A$9:$BN$9,1),FALSE),0)+IFERROR(VLOOKUP($B14,'RA6-CHPP'!$A$11:$BN$18,MATCH(Summary!AH$1,'RA6-CHPP'!$A$9:$BN$9,1),FALSE),0)+IFERROR(VLOOKUP($B14,'RA7-Mine Infrastructure Area'!$A$11:$BN$18,MATCH(Summary!AH$1,'RA7-Mine Infrastructure Area'!$A$9:$BN$9,1),FALSE),0)+IFERROR(VLOOKUP($B14,'RA8-Water Management Structures'!$A$11:$BN$18,MATCH(Summary!AH$1,'RA8-Water Management Structures'!$A$9:$BN$9,1),FALSE),0)+IFERROR(VLOOKUP($B14,'RA9-Codisposal Upper'!$A$11:$BN$18,MATCH(Summary!AH$1,'RA9-Codisposal Upper'!$A$9:$BN$9,1),FALSE),0)+IFERROR(VLOOKUP($B14,'RA10-Codisposal Slopes'!$A$11:$BN$18,MATCH(Summary!AH$1,'RA10-Codisposal Slopes'!$A$9:$BN$9,1),FALSE),0)+IFERROR(VLOOKUP($B14,'IA1-Final Void inc Ramps'!$A$11:$BN$18,MATCH(Summary!AH$1,'IA1-Final Void inc Ramps'!$A$9:$BN$9,1),FALSE),0)</f>
        <v>1574.6130000000001</v>
      </c>
      <c r="AI14" s="47">
        <f>IFERROR(VLOOKUP($B14,'RA1- Elevated Dumps Upper'!$A$11:$BN$18,MATCH(Summary!AI$1,'RA1- Elevated Dumps Upper'!$A$9:$BN$9,1),FALSE),0)+IFERROR(VLOOKUP($B14,'RA2-Elevated Dumps Slopes'!$A$11:$BN$18,MATCH(Summary!AI$1,'RA2-Elevated Dumps Slopes'!$A$9:$BN$9,1),FALSE),0)+IFERROR(VLOOKUP($B14,'RA3-Backfilled Pits'!$A$11:$BN$18,MATCH(Summary!AI$1,'RA3-Backfilled Pits'!$A$9:$BN$9,1),FALSE),0)+IFERROR(VLOOKUP($B14,'RA4-Tracks_Roads'!$A$11:$BN$18,MATCH(Summary!AI$1,'RA4-Tracks_Roads'!$A$9:$BN$9,1),FALSE),0)+IFERROR(VLOOKUP($B14,'RA5-ROM'!$A$11:$BN$18,MATCH(Summary!AI$1,'RA5-ROM'!$A$9:$BN$9,1),FALSE),0)+IFERROR(VLOOKUP($B14,'RA6-CHPP'!$A$11:$BN$18,MATCH(Summary!AI$1,'RA6-CHPP'!$A$9:$BN$9,1),FALSE),0)+IFERROR(VLOOKUP($B14,'RA7-Mine Infrastructure Area'!$A$11:$BN$18,MATCH(Summary!AI$1,'RA7-Mine Infrastructure Area'!$A$9:$BN$9,1),FALSE),0)+IFERROR(VLOOKUP($B14,'RA8-Water Management Structures'!$A$11:$BN$18,MATCH(Summary!AI$1,'RA8-Water Management Structures'!$A$9:$BN$9,1),FALSE),0)+IFERROR(VLOOKUP($B14,'RA9-Codisposal Upper'!$A$11:$BN$18,MATCH(Summary!AI$1,'RA9-Codisposal Upper'!$A$9:$BN$9,1),FALSE),0)+IFERROR(VLOOKUP($B14,'RA10-Codisposal Slopes'!$A$11:$BN$18,MATCH(Summary!AI$1,'RA10-Codisposal Slopes'!$A$9:$BN$9,1),FALSE),0)+IFERROR(VLOOKUP($B14,'IA1-Final Void inc Ramps'!$A$11:$BN$18,MATCH(Summary!AI$1,'IA1-Final Void inc Ramps'!$A$9:$BN$9,1),FALSE),0)</f>
        <v>1901.2130000000002</v>
      </c>
      <c r="AJ14" s="47">
        <f>IFERROR(VLOOKUP($B14,'RA1- Elevated Dumps Upper'!$A$11:$BN$18,MATCH(Summary!AJ$1,'RA1- Elevated Dumps Upper'!$A$9:$BN$9,1),FALSE),0)+IFERROR(VLOOKUP($B14,'RA2-Elevated Dumps Slopes'!$A$11:$BN$18,MATCH(Summary!AJ$1,'RA2-Elevated Dumps Slopes'!$A$9:$BN$9,1),FALSE),0)+IFERROR(VLOOKUP($B14,'RA3-Backfilled Pits'!$A$11:$BN$18,MATCH(Summary!AJ$1,'RA3-Backfilled Pits'!$A$9:$BN$9,1),FALSE),0)+IFERROR(VLOOKUP($B14,'RA4-Tracks_Roads'!$A$11:$BN$18,MATCH(Summary!AJ$1,'RA4-Tracks_Roads'!$A$9:$BN$9,1),FALSE),0)+IFERROR(VLOOKUP($B14,'RA5-ROM'!$A$11:$BN$18,MATCH(Summary!AJ$1,'RA5-ROM'!$A$9:$BN$9,1),FALSE),0)+IFERROR(VLOOKUP($B14,'RA6-CHPP'!$A$11:$BN$18,MATCH(Summary!AJ$1,'RA6-CHPP'!$A$9:$BN$9,1),FALSE),0)+IFERROR(VLOOKUP($B14,'RA7-Mine Infrastructure Area'!$A$11:$BN$18,MATCH(Summary!AJ$1,'RA7-Mine Infrastructure Area'!$A$9:$BN$9,1),FALSE),0)+IFERROR(VLOOKUP($B14,'RA8-Water Management Structures'!$A$11:$BN$18,MATCH(Summary!AJ$1,'RA8-Water Management Structures'!$A$9:$BN$9,1),FALSE),0)+IFERROR(VLOOKUP($B14,'RA9-Codisposal Upper'!$A$11:$BN$18,MATCH(Summary!AJ$1,'RA9-Codisposal Upper'!$A$9:$BN$9,1),FALSE),0)+IFERROR(VLOOKUP($B14,'RA10-Codisposal Slopes'!$A$11:$BN$18,MATCH(Summary!AJ$1,'RA10-Codisposal Slopes'!$A$9:$BN$9,1),FALSE),0)+IFERROR(VLOOKUP($B14,'IA1-Final Void inc Ramps'!$A$11:$BN$18,MATCH(Summary!AJ$1,'IA1-Final Void inc Ramps'!$A$9:$BN$9,1),FALSE),0)</f>
        <v>1901.2130000000002</v>
      </c>
      <c r="AK14" s="47">
        <f>IFERROR(VLOOKUP($B14,'RA1- Elevated Dumps Upper'!$A$11:$BN$18,MATCH(Summary!AK$1,'RA1- Elevated Dumps Upper'!$A$9:$BN$9,1),FALSE),0)+IFERROR(VLOOKUP($B14,'RA2-Elevated Dumps Slopes'!$A$11:$BN$18,MATCH(Summary!AK$1,'RA2-Elevated Dumps Slopes'!$A$9:$BN$9,1),FALSE),0)+IFERROR(VLOOKUP($B14,'RA3-Backfilled Pits'!$A$11:$BN$18,MATCH(Summary!AK$1,'RA3-Backfilled Pits'!$A$9:$BN$9,1),FALSE),0)+IFERROR(VLOOKUP($B14,'RA4-Tracks_Roads'!$A$11:$BN$18,MATCH(Summary!AK$1,'RA4-Tracks_Roads'!$A$9:$BN$9,1),FALSE),0)+IFERROR(VLOOKUP($B14,'RA5-ROM'!$A$11:$BN$18,MATCH(Summary!AK$1,'RA5-ROM'!$A$9:$BN$9,1),FALSE),0)+IFERROR(VLOOKUP($B14,'RA6-CHPP'!$A$11:$BN$18,MATCH(Summary!AK$1,'RA6-CHPP'!$A$9:$BN$9,1),FALSE),0)+IFERROR(VLOOKUP($B14,'RA7-Mine Infrastructure Area'!$A$11:$BN$18,MATCH(Summary!AK$1,'RA7-Mine Infrastructure Area'!$A$9:$BN$9,1),FALSE),0)+IFERROR(VLOOKUP($B14,'RA8-Water Management Structures'!$A$11:$BN$18,MATCH(Summary!AK$1,'RA8-Water Management Structures'!$A$9:$BN$9,1),FALSE),0)+IFERROR(VLOOKUP($B14,'RA9-Codisposal Upper'!$A$11:$BN$18,MATCH(Summary!AK$1,'RA9-Codisposal Upper'!$A$9:$BN$9,1),FALSE),0)+IFERROR(VLOOKUP($B14,'RA10-Codisposal Slopes'!$A$11:$BN$18,MATCH(Summary!AK$1,'RA10-Codisposal Slopes'!$A$9:$BN$9,1),FALSE),0)+IFERROR(VLOOKUP($B14,'IA1-Final Void inc Ramps'!$A$11:$BN$18,MATCH(Summary!AK$1,'IA1-Final Void inc Ramps'!$A$9:$BN$9,1),FALSE),0)</f>
        <v>1901.2130000000002</v>
      </c>
      <c r="AL14" s="47">
        <f>IFERROR(VLOOKUP($B14,'RA1- Elevated Dumps Upper'!$A$11:$BN$18,MATCH(Summary!AL$1,'RA1- Elevated Dumps Upper'!$A$9:$BN$9,1),FALSE),0)+IFERROR(VLOOKUP($B14,'RA2-Elevated Dumps Slopes'!$A$11:$BN$18,MATCH(Summary!AL$1,'RA2-Elevated Dumps Slopes'!$A$9:$BN$9,1),FALSE),0)+IFERROR(VLOOKUP($B14,'RA3-Backfilled Pits'!$A$11:$BN$18,MATCH(Summary!AL$1,'RA3-Backfilled Pits'!$A$9:$BN$9,1),FALSE),0)+IFERROR(VLOOKUP($B14,'RA4-Tracks_Roads'!$A$11:$BN$18,MATCH(Summary!AL$1,'RA4-Tracks_Roads'!$A$9:$BN$9,1),FALSE),0)+IFERROR(VLOOKUP($B14,'RA5-ROM'!$A$11:$BN$18,MATCH(Summary!AL$1,'RA5-ROM'!$A$9:$BN$9,1),FALSE),0)+IFERROR(VLOOKUP($B14,'RA6-CHPP'!$A$11:$BN$18,MATCH(Summary!AL$1,'RA6-CHPP'!$A$9:$BN$9,1),FALSE),0)+IFERROR(VLOOKUP($B14,'RA7-Mine Infrastructure Area'!$A$11:$BN$18,MATCH(Summary!AL$1,'RA7-Mine Infrastructure Area'!$A$9:$BN$9,1),FALSE),0)+IFERROR(VLOOKUP($B14,'RA8-Water Management Structures'!$A$11:$BN$18,MATCH(Summary!AL$1,'RA8-Water Management Structures'!$A$9:$BN$9,1),FALSE),0)+IFERROR(VLOOKUP($B14,'RA9-Codisposal Upper'!$A$11:$BN$18,MATCH(Summary!AL$1,'RA9-Codisposal Upper'!$A$9:$BN$9,1),FALSE),0)+IFERROR(VLOOKUP($B14,'RA10-Codisposal Slopes'!$A$11:$BN$18,MATCH(Summary!AL$1,'RA10-Codisposal Slopes'!$A$9:$BN$9,1),FALSE),0)+IFERROR(VLOOKUP($B14,'IA1-Final Void inc Ramps'!$A$11:$BN$18,MATCH(Summary!AL$1,'IA1-Final Void inc Ramps'!$A$9:$BN$9,1),FALSE),0)</f>
        <v>1901.2130000000002</v>
      </c>
      <c r="AM14" s="47">
        <f>IFERROR(VLOOKUP($B14,'RA1- Elevated Dumps Upper'!$A$11:$BN$18,MATCH(Summary!AM$1,'RA1- Elevated Dumps Upper'!$A$9:$BN$9,1),FALSE),0)+IFERROR(VLOOKUP($B14,'RA2-Elevated Dumps Slopes'!$A$11:$BN$18,MATCH(Summary!AM$1,'RA2-Elevated Dumps Slopes'!$A$9:$BN$9,1),FALSE),0)+IFERROR(VLOOKUP($B14,'RA3-Backfilled Pits'!$A$11:$BN$18,MATCH(Summary!AM$1,'RA3-Backfilled Pits'!$A$9:$BN$9,1),FALSE),0)+IFERROR(VLOOKUP($B14,'RA4-Tracks_Roads'!$A$11:$BN$18,MATCH(Summary!AM$1,'RA4-Tracks_Roads'!$A$9:$BN$9,1),FALSE),0)+IFERROR(VLOOKUP($B14,'RA5-ROM'!$A$11:$BN$18,MATCH(Summary!AM$1,'RA5-ROM'!$A$9:$BN$9,1),FALSE),0)+IFERROR(VLOOKUP($B14,'RA6-CHPP'!$A$11:$BN$18,MATCH(Summary!AM$1,'RA6-CHPP'!$A$9:$BN$9,1),FALSE),0)+IFERROR(VLOOKUP($B14,'RA7-Mine Infrastructure Area'!$A$11:$BN$18,MATCH(Summary!AM$1,'RA7-Mine Infrastructure Area'!$A$9:$BN$9,1),FALSE),0)+IFERROR(VLOOKUP($B14,'RA8-Water Management Structures'!$A$11:$BN$18,MATCH(Summary!AM$1,'RA8-Water Management Structures'!$A$9:$BN$9,1),FALSE),0)+IFERROR(VLOOKUP($B14,'RA9-Codisposal Upper'!$A$11:$BN$18,MATCH(Summary!AM$1,'RA9-Codisposal Upper'!$A$9:$BN$9,1),FALSE),0)+IFERROR(VLOOKUP($B14,'RA10-Codisposal Slopes'!$A$11:$BN$18,MATCH(Summary!AM$1,'RA10-Codisposal Slopes'!$A$9:$BN$9,1),FALSE),0)+IFERROR(VLOOKUP($B14,'IA1-Final Void inc Ramps'!$A$11:$BN$18,MATCH(Summary!AM$1,'IA1-Final Void inc Ramps'!$A$9:$BN$9,1),FALSE),0)</f>
        <v>1901.2130000000002</v>
      </c>
      <c r="AN14" s="47">
        <f>IFERROR(VLOOKUP($B14,'RA1- Elevated Dumps Upper'!$A$11:$BN$18,MATCH(Summary!AN$1,'RA1- Elevated Dumps Upper'!$A$9:$BN$9,1),FALSE),0)+IFERROR(VLOOKUP($B14,'RA2-Elevated Dumps Slopes'!$A$11:$BN$18,MATCH(Summary!AN$1,'RA2-Elevated Dumps Slopes'!$A$9:$BN$9,1),FALSE),0)+IFERROR(VLOOKUP($B14,'RA3-Backfilled Pits'!$A$11:$BN$18,MATCH(Summary!AN$1,'RA3-Backfilled Pits'!$A$9:$BN$9,1),FALSE),0)+IFERROR(VLOOKUP($B14,'RA4-Tracks_Roads'!$A$11:$BN$18,MATCH(Summary!AN$1,'RA4-Tracks_Roads'!$A$9:$BN$9,1),FALSE),0)+IFERROR(VLOOKUP($B14,'RA5-ROM'!$A$11:$BN$18,MATCH(Summary!AN$1,'RA5-ROM'!$A$9:$BN$9,1),FALSE),0)+IFERROR(VLOOKUP($B14,'RA6-CHPP'!$A$11:$BN$18,MATCH(Summary!AN$1,'RA6-CHPP'!$A$9:$BN$9,1),FALSE),0)+IFERROR(VLOOKUP($B14,'RA7-Mine Infrastructure Area'!$A$11:$BN$18,MATCH(Summary!AN$1,'RA7-Mine Infrastructure Area'!$A$9:$BN$9,1),FALSE),0)+IFERROR(VLOOKUP($B14,'RA8-Water Management Structures'!$A$11:$BN$18,MATCH(Summary!AN$1,'RA8-Water Management Structures'!$A$9:$BN$9,1),FALSE),0)+IFERROR(VLOOKUP($B14,'RA9-Codisposal Upper'!$A$11:$BN$18,MATCH(Summary!AN$1,'RA9-Codisposal Upper'!$A$9:$BN$9,1),FALSE),0)+IFERROR(VLOOKUP($B14,'RA10-Codisposal Slopes'!$A$11:$BN$18,MATCH(Summary!AN$1,'RA10-Codisposal Slopes'!$A$9:$BN$9,1),FALSE),0)+IFERROR(VLOOKUP($B14,'IA1-Final Void inc Ramps'!$A$11:$BN$18,MATCH(Summary!AN$1,'IA1-Final Void inc Ramps'!$A$9:$BN$9,1),FALSE),0)</f>
        <v>1901.2130000000002</v>
      </c>
      <c r="AO14" s="47">
        <f>IFERROR(VLOOKUP($B14,'RA1- Elevated Dumps Upper'!$A$11:$BN$18,MATCH(Summary!AO$1,'RA1- Elevated Dumps Upper'!$A$9:$BN$9,1),FALSE),0)+IFERROR(VLOOKUP($B14,'RA2-Elevated Dumps Slopes'!$A$11:$BN$18,MATCH(Summary!AO$1,'RA2-Elevated Dumps Slopes'!$A$9:$BN$9,1),FALSE),0)+IFERROR(VLOOKUP($B14,'RA3-Backfilled Pits'!$A$11:$BN$18,MATCH(Summary!AO$1,'RA3-Backfilled Pits'!$A$9:$BN$9,1),FALSE),0)+IFERROR(VLOOKUP($B14,'RA4-Tracks_Roads'!$A$11:$BN$18,MATCH(Summary!AO$1,'RA4-Tracks_Roads'!$A$9:$BN$9,1),FALSE),0)+IFERROR(VLOOKUP($B14,'RA5-ROM'!$A$11:$BN$18,MATCH(Summary!AO$1,'RA5-ROM'!$A$9:$BN$9,1),FALSE),0)+IFERROR(VLOOKUP($B14,'RA6-CHPP'!$A$11:$BN$18,MATCH(Summary!AO$1,'RA6-CHPP'!$A$9:$BN$9,1),FALSE),0)+IFERROR(VLOOKUP($B14,'RA7-Mine Infrastructure Area'!$A$11:$BN$18,MATCH(Summary!AO$1,'RA7-Mine Infrastructure Area'!$A$9:$BN$9,1),FALSE),0)+IFERROR(VLOOKUP($B14,'RA8-Water Management Structures'!$A$11:$BN$18,MATCH(Summary!AO$1,'RA8-Water Management Structures'!$A$9:$BN$9,1),FALSE),0)+IFERROR(VLOOKUP($B14,'RA9-Codisposal Upper'!$A$11:$BN$18,MATCH(Summary!AO$1,'RA9-Codisposal Upper'!$A$9:$BN$9,1),FALSE),0)+IFERROR(VLOOKUP($B14,'RA10-Codisposal Slopes'!$A$11:$BN$18,MATCH(Summary!AO$1,'RA10-Codisposal Slopes'!$A$9:$BN$9,1),FALSE),0)+IFERROR(VLOOKUP($B14,'IA1-Final Void inc Ramps'!$A$11:$BN$18,MATCH(Summary!AO$1,'IA1-Final Void inc Ramps'!$A$9:$BN$9,1),FALSE),0)</f>
        <v>1901.2130000000002</v>
      </c>
      <c r="AP14" s="47">
        <f>IFERROR(VLOOKUP($B14,'RA1- Elevated Dumps Upper'!$A$11:$BN$18,MATCH(Summary!AP$1,'RA1- Elevated Dumps Upper'!$A$9:$BN$9,1),FALSE),0)+IFERROR(VLOOKUP($B14,'RA2-Elevated Dumps Slopes'!$A$11:$BN$18,MATCH(Summary!AP$1,'RA2-Elevated Dumps Slopes'!$A$9:$BN$9,1),FALSE),0)+IFERROR(VLOOKUP($B14,'RA3-Backfilled Pits'!$A$11:$BN$18,MATCH(Summary!AP$1,'RA3-Backfilled Pits'!$A$9:$BN$9,1),FALSE),0)+IFERROR(VLOOKUP($B14,'RA4-Tracks_Roads'!$A$11:$BN$18,MATCH(Summary!AP$1,'RA4-Tracks_Roads'!$A$9:$BN$9,1),FALSE),0)+IFERROR(VLOOKUP($B14,'RA5-ROM'!$A$11:$BN$18,MATCH(Summary!AP$1,'RA5-ROM'!$A$9:$BN$9,1),FALSE),0)+IFERROR(VLOOKUP($B14,'RA6-CHPP'!$A$11:$BN$18,MATCH(Summary!AP$1,'RA6-CHPP'!$A$9:$BN$9,1),FALSE),0)+IFERROR(VLOOKUP($B14,'RA7-Mine Infrastructure Area'!$A$11:$BN$18,MATCH(Summary!AP$1,'RA7-Mine Infrastructure Area'!$A$9:$BN$9,1),FALSE),0)+IFERROR(VLOOKUP($B14,'RA8-Water Management Structures'!$A$11:$BN$18,MATCH(Summary!AP$1,'RA8-Water Management Structures'!$A$9:$BN$9,1),FALSE),0)+IFERROR(VLOOKUP($B14,'RA9-Codisposal Upper'!$A$11:$BN$18,MATCH(Summary!AP$1,'RA9-Codisposal Upper'!$A$9:$BN$9,1),FALSE),0)+IFERROR(VLOOKUP($B14,'RA10-Codisposal Slopes'!$A$11:$BN$18,MATCH(Summary!AP$1,'RA10-Codisposal Slopes'!$A$9:$BN$9,1),FALSE),0)+IFERROR(VLOOKUP($B14,'IA1-Final Void inc Ramps'!$A$11:$BN$18,MATCH(Summary!AP$1,'IA1-Final Void inc Ramps'!$A$9:$BN$9,1),FALSE),0)</f>
        <v>1901.2130000000002</v>
      </c>
      <c r="AQ14" s="47">
        <f>IFERROR(VLOOKUP($B14,'RA1- Elevated Dumps Upper'!$A$11:$BN$18,MATCH(Summary!AQ$1,'RA1- Elevated Dumps Upper'!$A$9:$BN$9,1),FALSE),0)+IFERROR(VLOOKUP($B14,'RA2-Elevated Dumps Slopes'!$A$11:$BN$18,MATCH(Summary!AQ$1,'RA2-Elevated Dumps Slopes'!$A$9:$BN$9,1),FALSE),0)+IFERROR(VLOOKUP($B14,'RA3-Backfilled Pits'!$A$11:$BN$18,MATCH(Summary!AQ$1,'RA3-Backfilled Pits'!$A$9:$BN$9,1),FALSE),0)+IFERROR(VLOOKUP($B14,'RA4-Tracks_Roads'!$A$11:$BN$18,MATCH(Summary!AQ$1,'RA4-Tracks_Roads'!$A$9:$BN$9,1),FALSE),0)+IFERROR(VLOOKUP($B14,'RA5-ROM'!$A$11:$BN$18,MATCH(Summary!AQ$1,'RA5-ROM'!$A$9:$BN$9,1),FALSE),0)+IFERROR(VLOOKUP($B14,'RA6-CHPP'!$A$11:$BN$18,MATCH(Summary!AQ$1,'RA6-CHPP'!$A$9:$BN$9,1),FALSE),0)+IFERROR(VLOOKUP($B14,'RA7-Mine Infrastructure Area'!$A$11:$BN$18,MATCH(Summary!AQ$1,'RA7-Mine Infrastructure Area'!$A$9:$BN$9,1),FALSE),0)+IFERROR(VLOOKUP($B14,'RA8-Water Management Structures'!$A$11:$BN$18,MATCH(Summary!AQ$1,'RA8-Water Management Structures'!$A$9:$BN$9,1),FALSE),0)+IFERROR(VLOOKUP($B14,'RA9-Codisposal Upper'!$A$11:$BN$18,MATCH(Summary!AQ$1,'RA9-Codisposal Upper'!$A$9:$BN$9,1),FALSE),0)+IFERROR(VLOOKUP($B14,'RA10-Codisposal Slopes'!$A$11:$BN$18,MATCH(Summary!AQ$1,'RA10-Codisposal Slopes'!$A$9:$BN$9,1),FALSE),0)+IFERROR(VLOOKUP($B14,'IA1-Final Void inc Ramps'!$A$11:$BN$18,MATCH(Summary!AQ$1,'IA1-Final Void inc Ramps'!$A$9:$BN$9,1),FALSE),0)</f>
        <v>1901.2130000000002</v>
      </c>
      <c r="AR14" s="47">
        <f>IFERROR(VLOOKUP($B14,'RA1- Elevated Dumps Upper'!$A$11:$BN$18,MATCH(Summary!AR$1,'RA1- Elevated Dumps Upper'!$A$9:$BN$9,1),FALSE),0)+IFERROR(VLOOKUP($B14,'RA2-Elevated Dumps Slopes'!$A$11:$BN$18,MATCH(Summary!AR$1,'RA2-Elevated Dumps Slopes'!$A$9:$BN$9,1),FALSE),0)+IFERROR(VLOOKUP($B14,'RA3-Backfilled Pits'!$A$11:$BN$18,MATCH(Summary!AR$1,'RA3-Backfilled Pits'!$A$9:$BN$9,1),FALSE),0)+IFERROR(VLOOKUP($B14,'RA4-Tracks_Roads'!$A$11:$BN$18,MATCH(Summary!AR$1,'RA4-Tracks_Roads'!$A$9:$BN$9,1),FALSE),0)+IFERROR(VLOOKUP($B14,'RA5-ROM'!$A$11:$BN$18,MATCH(Summary!AR$1,'RA5-ROM'!$A$9:$BN$9,1),FALSE),0)+IFERROR(VLOOKUP($B14,'RA6-CHPP'!$A$11:$BN$18,MATCH(Summary!AR$1,'RA6-CHPP'!$A$9:$BN$9,1),FALSE),0)+IFERROR(VLOOKUP($B14,'RA7-Mine Infrastructure Area'!$A$11:$BN$18,MATCH(Summary!AR$1,'RA7-Mine Infrastructure Area'!$A$9:$BN$9,1),FALSE),0)+IFERROR(VLOOKUP($B14,'RA8-Water Management Structures'!$A$11:$BN$18,MATCH(Summary!AR$1,'RA8-Water Management Structures'!$A$9:$BN$9,1),FALSE),0)+IFERROR(VLOOKUP($B14,'RA9-Codisposal Upper'!$A$11:$BN$18,MATCH(Summary!AR$1,'RA9-Codisposal Upper'!$A$9:$BN$9,1),FALSE),0)+IFERROR(VLOOKUP($B14,'RA10-Codisposal Slopes'!$A$11:$BN$18,MATCH(Summary!AR$1,'RA10-Codisposal Slopes'!$A$9:$BN$9,1),FALSE),0)+IFERROR(VLOOKUP($B14,'IA1-Final Void inc Ramps'!$A$11:$BN$18,MATCH(Summary!AR$1,'IA1-Final Void inc Ramps'!$A$9:$BN$9,1),FALSE),0)</f>
        <v>1901.2130000000002</v>
      </c>
      <c r="AS14" s="47">
        <f>IFERROR(VLOOKUP($B14,'RA1- Elevated Dumps Upper'!$A$11:$BN$18,MATCH(Summary!AS$1,'RA1- Elevated Dumps Upper'!$A$9:$BN$9,1),FALSE),0)+IFERROR(VLOOKUP($B14,'RA2-Elevated Dumps Slopes'!$A$11:$BN$18,MATCH(Summary!AS$1,'RA2-Elevated Dumps Slopes'!$A$9:$BN$9,1),FALSE),0)+IFERROR(VLOOKUP($B14,'RA3-Backfilled Pits'!$A$11:$BN$18,MATCH(Summary!AS$1,'RA3-Backfilled Pits'!$A$9:$BN$9,1),FALSE),0)+IFERROR(VLOOKUP($B14,'RA4-Tracks_Roads'!$A$11:$BN$18,MATCH(Summary!AS$1,'RA4-Tracks_Roads'!$A$9:$BN$9,1),FALSE),0)+IFERROR(VLOOKUP($B14,'RA5-ROM'!$A$11:$BN$18,MATCH(Summary!AS$1,'RA5-ROM'!$A$9:$BN$9,1),FALSE),0)+IFERROR(VLOOKUP($B14,'RA6-CHPP'!$A$11:$BN$18,MATCH(Summary!AS$1,'RA6-CHPP'!$A$9:$BN$9,1),FALSE),0)+IFERROR(VLOOKUP($B14,'RA7-Mine Infrastructure Area'!$A$11:$BN$18,MATCH(Summary!AS$1,'RA7-Mine Infrastructure Area'!$A$9:$BN$9,1),FALSE),0)+IFERROR(VLOOKUP($B14,'RA8-Water Management Structures'!$A$11:$BN$18,MATCH(Summary!AS$1,'RA8-Water Management Structures'!$A$9:$BN$9,1),FALSE),0)+IFERROR(VLOOKUP($B14,'RA9-Codisposal Upper'!$A$11:$BN$18,MATCH(Summary!AS$1,'RA9-Codisposal Upper'!$A$9:$BN$9,1),FALSE),0)+IFERROR(VLOOKUP($B14,'RA10-Codisposal Slopes'!$A$11:$BN$18,MATCH(Summary!AS$1,'RA10-Codisposal Slopes'!$A$9:$BN$9,1),FALSE),0)+IFERROR(VLOOKUP($B14,'IA1-Final Void inc Ramps'!$A$11:$BN$18,MATCH(Summary!AS$1,'IA1-Final Void inc Ramps'!$A$9:$BN$9,1),FALSE),0)</f>
        <v>1901.2130000000002</v>
      </c>
      <c r="AT14" s="47">
        <f>IFERROR(VLOOKUP($B14,'RA1- Elevated Dumps Upper'!$A$11:$BN$18,MATCH(Summary!AT$1,'RA1- Elevated Dumps Upper'!$A$9:$BN$9,1),FALSE),0)+IFERROR(VLOOKUP($B14,'RA2-Elevated Dumps Slopes'!$A$11:$BN$18,MATCH(Summary!AT$1,'RA2-Elevated Dumps Slopes'!$A$9:$BN$9,1),FALSE),0)+IFERROR(VLOOKUP($B14,'RA3-Backfilled Pits'!$A$11:$BN$18,MATCH(Summary!AT$1,'RA3-Backfilled Pits'!$A$9:$BN$9,1),FALSE),0)+IFERROR(VLOOKUP($B14,'RA4-Tracks_Roads'!$A$11:$BN$18,MATCH(Summary!AT$1,'RA4-Tracks_Roads'!$A$9:$BN$9,1),FALSE),0)+IFERROR(VLOOKUP($B14,'RA5-ROM'!$A$11:$BN$18,MATCH(Summary!AT$1,'RA5-ROM'!$A$9:$BN$9,1),FALSE),0)+IFERROR(VLOOKUP($B14,'RA6-CHPP'!$A$11:$BN$18,MATCH(Summary!AT$1,'RA6-CHPP'!$A$9:$BN$9,1),FALSE),0)+IFERROR(VLOOKUP($B14,'RA7-Mine Infrastructure Area'!$A$11:$BN$18,MATCH(Summary!AT$1,'RA7-Mine Infrastructure Area'!$A$9:$BN$9,1),FALSE),0)+IFERROR(VLOOKUP($B14,'RA8-Water Management Structures'!$A$11:$BN$18,MATCH(Summary!AT$1,'RA8-Water Management Structures'!$A$9:$BN$9,1),FALSE),0)+IFERROR(VLOOKUP($B14,'RA9-Codisposal Upper'!$A$11:$BN$18,MATCH(Summary!AT$1,'RA9-Codisposal Upper'!$A$9:$BN$9,1),FALSE),0)+IFERROR(VLOOKUP($B14,'RA10-Codisposal Slopes'!$A$11:$BN$18,MATCH(Summary!AT$1,'RA10-Codisposal Slopes'!$A$9:$BN$9,1),FALSE),0)+IFERROR(VLOOKUP($B14,'IA1-Final Void inc Ramps'!$A$11:$BN$18,MATCH(Summary!AT$1,'IA1-Final Void inc Ramps'!$A$9:$BN$9,1),FALSE),0)</f>
        <v>1901.2130000000002</v>
      </c>
      <c r="AU14" s="47">
        <f>IFERROR(VLOOKUP($B14,'RA1- Elevated Dumps Upper'!$A$11:$BN$18,MATCH(Summary!AU$1,'RA1- Elevated Dumps Upper'!$A$9:$BN$9,1),FALSE),0)+IFERROR(VLOOKUP($B14,'RA2-Elevated Dumps Slopes'!$A$11:$BN$18,MATCH(Summary!AU$1,'RA2-Elevated Dumps Slopes'!$A$9:$BN$9,1),FALSE),0)+IFERROR(VLOOKUP($B14,'RA3-Backfilled Pits'!$A$11:$BN$18,MATCH(Summary!AU$1,'RA3-Backfilled Pits'!$A$9:$BN$9,1),FALSE),0)+IFERROR(VLOOKUP($B14,'RA4-Tracks_Roads'!$A$11:$BN$18,MATCH(Summary!AU$1,'RA4-Tracks_Roads'!$A$9:$BN$9,1),FALSE),0)+IFERROR(VLOOKUP($B14,'RA5-ROM'!$A$11:$BN$18,MATCH(Summary!AU$1,'RA5-ROM'!$A$9:$BN$9,1),FALSE),0)+IFERROR(VLOOKUP($B14,'RA6-CHPP'!$A$11:$BN$18,MATCH(Summary!AU$1,'RA6-CHPP'!$A$9:$BN$9,1),FALSE),0)+IFERROR(VLOOKUP($B14,'RA7-Mine Infrastructure Area'!$A$11:$BN$18,MATCH(Summary!AU$1,'RA7-Mine Infrastructure Area'!$A$9:$BN$9,1),FALSE),0)+IFERROR(VLOOKUP($B14,'RA8-Water Management Structures'!$A$11:$BN$18,MATCH(Summary!AU$1,'RA8-Water Management Structures'!$A$9:$BN$9,1),FALSE),0)+IFERROR(VLOOKUP($B14,'RA9-Codisposal Upper'!$A$11:$BN$18,MATCH(Summary!AU$1,'RA9-Codisposal Upper'!$A$9:$BN$9,1),FALSE),0)+IFERROR(VLOOKUP($B14,'RA10-Codisposal Slopes'!$A$11:$BN$18,MATCH(Summary!AU$1,'RA10-Codisposal Slopes'!$A$9:$BN$9,1),FALSE),0)+IFERROR(VLOOKUP($B14,'IA1-Final Void inc Ramps'!$A$11:$BN$18,MATCH(Summary!AU$1,'IA1-Final Void inc Ramps'!$A$9:$BN$9,1),FALSE),0)</f>
        <v>1901.2130000000002</v>
      </c>
      <c r="AV14" s="47">
        <f>IFERROR(VLOOKUP($B14,'RA1- Elevated Dumps Upper'!$A$11:$BN$18,MATCH(Summary!AV$1,'RA1- Elevated Dumps Upper'!$A$9:$BN$9,1),FALSE),0)+IFERROR(VLOOKUP($B14,'RA2-Elevated Dumps Slopes'!$A$11:$BN$18,MATCH(Summary!AV$1,'RA2-Elevated Dumps Slopes'!$A$9:$BN$9,1),FALSE),0)+IFERROR(VLOOKUP($B14,'RA3-Backfilled Pits'!$A$11:$BN$18,MATCH(Summary!AV$1,'RA3-Backfilled Pits'!$A$9:$BN$9,1),FALSE),0)+IFERROR(VLOOKUP($B14,'RA4-Tracks_Roads'!$A$11:$BN$18,MATCH(Summary!AV$1,'RA4-Tracks_Roads'!$A$9:$BN$9,1),FALSE),0)+IFERROR(VLOOKUP($B14,'RA5-ROM'!$A$11:$BN$18,MATCH(Summary!AV$1,'RA5-ROM'!$A$9:$BN$9,1),FALSE),0)+IFERROR(VLOOKUP($B14,'RA6-CHPP'!$A$11:$BN$18,MATCH(Summary!AV$1,'RA6-CHPP'!$A$9:$BN$9,1),FALSE),0)+IFERROR(VLOOKUP($B14,'RA7-Mine Infrastructure Area'!$A$11:$BN$18,MATCH(Summary!AV$1,'RA7-Mine Infrastructure Area'!$A$9:$BN$9,1),FALSE),0)+IFERROR(VLOOKUP($B14,'RA8-Water Management Structures'!$A$11:$BN$18,MATCH(Summary!AV$1,'RA8-Water Management Structures'!$A$9:$BN$9,1),FALSE),0)+IFERROR(VLOOKUP($B14,'RA9-Codisposal Upper'!$A$11:$BN$18,MATCH(Summary!AV$1,'RA9-Codisposal Upper'!$A$9:$BN$9,1),FALSE),0)+IFERROR(VLOOKUP($B14,'RA10-Codisposal Slopes'!$A$11:$BN$18,MATCH(Summary!AV$1,'RA10-Codisposal Slopes'!$A$9:$BN$9,1),FALSE),0)+IFERROR(VLOOKUP($B14,'IA1-Final Void inc Ramps'!$A$11:$BN$18,MATCH(Summary!AV$1,'IA1-Final Void inc Ramps'!$A$9:$BN$9,1),FALSE),0)</f>
        <v>1901.2130000000002</v>
      </c>
      <c r="AW14" s="47">
        <f>IFERROR(VLOOKUP($B14,'RA1- Elevated Dumps Upper'!$A$11:$BN$18,MATCH(Summary!AW$1,'RA1- Elevated Dumps Upper'!$A$9:$BN$9,1),FALSE),0)+IFERROR(VLOOKUP($B14,'RA2-Elevated Dumps Slopes'!$A$11:$BN$18,MATCH(Summary!AW$1,'RA2-Elevated Dumps Slopes'!$A$9:$BN$9,1),FALSE),0)+IFERROR(VLOOKUP($B14,'RA3-Backfilled Pits'!$A$11:$BN$18,MATCH(Summary!AW$1,'RA3-Backfilled Pits'!$A$9:$BN$9,1),FALSE),0)+IFERROR(VLOOKUP($B14,'RA4-Tracks_Roads'!$A$11:$BN$18,MATCH(Summary!AW$1,'RA4-Tracks_Roads'!$A$9:$BN$9,1),FALSE),0)+IFERROR(VLOOKUP($B14,'RA5-ROM'!$A$11:$BN$18,MATCH(Summary!AW$1,'RA5-ROM'!$A$9:$BN$9,1),FALSE),0)+IFERROR(VLOOKUP($B14,'RA6-CHPP'!$A$11:$BN$18,MATCH(Summary!AW$1,'RA6-CHPP'!$A$9:$BN$9,1),FALSE),0)+IFERROR(VLOOKUP($B14,'RA7-Mine Infrastructure Area'!$A$11:$BN$18,MATCH(Summary!AW$1,'RA7-Mine Infrastructure Area'!$A$9:$BN$9,1),FALSE),0)+IFERROR(VLOOKUP($B14,'RA8-Water Management Structures'!$A$11:$BN$18,MATCH(Summary!AW$1,'RA8-Water Management Structures'!$A$9:$BN$9,1),FALSE),0)+IFERROR(VLOOKUP($B14,'RA9-Codisposal Upper'!$A$11:$BN$18,MATCH(Summary!AW$1,'RA9-Codisposal Upper'!$A$9:$BN$9,1),FALSE),0)+IFERROR(VLOOKUP($B14,'RA10-Codisposal Slopes'!$A$11:$BN$18,MATCH(Summary!AW$1,'RA10-Codisposal Slopes'!$A$9:$BN$9,1),FALSE),0)+IFERROR(VLOOKUP($B14,'IA1-Final Void inc Ramps'!$A$11:$BN$18,MATCH(Summary!AW$1,'IA1-Final Void inc Ramps'!$A$9:$BN$9,1),FALSE),0)</f>
        <v>1901.2130000000002</v>
      </c>
      <c r="AX14" s="47">
        <f>IFERROR(VLOOKUP($B14,'RA1- Elevated Dumps Upper'!$A$11:$BN$18,MATCH(Summary!AX$1,'RA1- Elevated Dumps Upper'!$A$9:$BN$9,1),FALSE),0)+IFERROR(VLOOKUP($B14,'RA2-Elevated Dumps Slopes'!$A$11:$BN$18,MATCH(Summary!AX$1,'RA2-Elevated Dumps Slopes'!$A$9:$BN$9,1),FALSE),0)+IFERROR(VLOOKUP($B14,'RA3-Backfilled Pits'!$A$11:$BN$18,MATCH(Summary!AX$1,'RA3-Backfilled Pits'!$A$9:$BN$9,1),FALSE),0)+IFERROR(VLOOKUP($B14,'RA4-Tracks_Roads'!$A$11:$BN$18,MATCH(Summary!AX$1,'RA4-Tracks_Roads'!$A$9:$BN$9,1),FALSE),0)+IFERROR(VLOOKUP($B14,'RA5-ROM'!$A$11:$BN$18,MATCH(Summary!AX$1,'RA5-ROM'!$A$9:$BN$9,1),FALSE),0)+IFERROR(VLOOKUP($B14,'RA6-CHPP'!$A$11:$BN$18,MATCH(Summary!AX$1,'RA6-CHPP'!$A$9:$BN$9,1),FALSE),0)+IFERROR(VLOOKUP($B14,'RA7-Mine Infrastructure Area'!$A$11:$BN$18,MATCH(Summary!AX$1,'RA7-Mine Infrastructure Area'!$A$9:$BN$9,1),FALSE),0)+IFERROR(VLOOKUP($B14,'RA8-Water Management Structures'!$A$11:$BN$18,MATCH(Summary!AX$1,'RA8-Water Management Structures'!$A$9:$BN$9,1),FALSE),0)+IFERROR(VLOOKUP($B14,'RA9-Codisposal Upper'!$A$11:$BN$18,MATCH(Summary!AX$1,'RA9-Codisposal Upper'!$A$9:$BN$9,1),FALSE),0)+IFERROR(VLOOKUP($B14,'RA10-Codisposal Slopes'!$A$11:$BN$18,MATCH(Summary!AX$1,'RA10-Codisposal Slopes'!$A$9:$BN$9,1),FALSE),0)+IFERROR(VLOOKUP($B14,'IA1-Final Void inc Ramps'!$A$11:$BN$18,MATCH(Summary!AX$1,'IA1-Final Void inc Ramps'!$A$9:$BN$9,1),FALSE),0)</f>
        <v>1901.2130000000002</v>
      </c>
      <c r="AY14" s="47">
        <f>IFERROR(VLOOKUP($B14,'RA1- Elevated Dumps Upper'!$A$11:$BN$18,MATCH(Summary!AY$1,'RA1- Elevated Dumps Upper'!$A$9:$BN$9,1),FALSE),0)+IFERROR(VLOOKUP($B14,'RA2-Elevated Dumps Slopes'!$A$11:$BN$18,MATCH(Summary!AY$1,'RA2-Elevated Dumps Slopes'!$A$9:$BN$9,1),FALSE),0)+IFERROR(VLOOKUP($B14,'RA3-Backfilled Pits'!$A$11:$BN$18,MATCH(Summary!AY$1,'RA3-Backfilled Pits'!$A$9:$BN$9,1),FALSE),0)+IFERROR(VLOOKUP($B14,'RA4-Tracks_Roads'!$A$11:$BN$18,MATCH(Summary!AY$1,'RA4-Tracks_Roads'!$A$9:$BN$9,1),FALSE),0)+IFERROR(VLOOKUP($B14,'RA5-ROM'!$A$11:$BN$18,MATCH(Summary!AY$1,'RA5-ROM'!$A$9:$BN$9,1),FALSE),0)+IFERROR(VLOOKUP($B14,'RA6-CHPP'!$A$11:$BN$18,MATCH(Summary!AY$1,'RA6-CHPP'!$A$9:$BN$9,1),FALSE),0)+IFERROR(VLOOKUP($B14,'RA7-Mine Infrastructure Area'!$A$11:$BN$18,MATCH(Summary!AY$1,'RA7-Mine Infrastructure Area'!$A$9:$BN$9,1),FALSE),0)+IFERROR(VLOOKUP($B14,'RA8-Water Management Structures'!$A$11:$BN$18,MATCH(Summary!AY$1,'RA8-Water Management Structures'!$A$9:$BN$9,1),FALSE),0)+IFERROR(VLOOKUP($B14,'RA9-Codisposal Upper'!$A$11:$BN$18,MATCH(Summary!AY$1,'RA9-Codisposal Upper'!$A$9:$BN$9,1),FALSE),0)+IFERROR(VLOOKUP($B14,'RA10-Codisposal Slopes'!$A$11:$BN$18,MATCH(Summary!AY$1,'RA10-Codisposal Slopes'!$A$9:$BN$9,1),FALSE),0)+IFERROR(VLOOKUP($B14,'IA1-Final Void inc Ramps'!$A$11:$BN$18,MATCH(Summary!AY$1,'IA1-Final Void inc Ramps'!$A$9:$BN$9,1),FALSE),0)</f>
        <v>1901.2130000000002</v>
      </c>
      <c r="AZ14" s="47">
        <f>IFERROR(VLOOKUP($B14,'RA1- Elevated Dumps Upper'!$A$11:$BN$18,MATCH(Summary!AZ$1,'RA1- Elevated Dumps Upper'!$A$9:$BN$9,1),FALSE),0)+IFERROR(VLOOKUP($B14,'RA2-Elevated Dumps Slopes'!$A$11:$BN$18,MATCH(Summary!AZ$1,'RA2-Elevated Dumps Slopes'!$A$9:$BN$9,1),FALSE),0)+IFERROR(VLOOKUP($B14,'RA3-Backfilled Pits'!$A$11:$BN$18,MATCH(Summary!AZ$1,'RA3-Backfilled Pits'!$A$9:$BN$9,1),FALSE),0)+IFERROR(VLOOKUP($B14,'RA4-Tracks_Roads'!$A$11:$BN$18,MATCH(Summary!AZ$1,'RA4-Tracks_Roads'!$A$9:$BN$9,1),FALSE),0)+IFERROR(VLOOKUP($B14,'RA5-ROM'!$A$11:$BN$18,MATCH(Summary!AZ$1,'RA5-ROM'!$A$9:$BN$9,1),FALSE),0)+IFERROR(VLOOKUP($B14,'RA6-CHPP'!$A$11:$BN$18,MATCH(Summary!AZ$1,'RA6-CHPP'!$A$9:$BN$9,1),FALSE),0)+IFERROR(VLOOKUP($B14,'RA7-Mine Infrastructure Area'!$A$11:$BN$18,MATCH(Summary!AZ$1,'RA7-Mine Infrastructure Area'!$A$9:$BN$9,1),FALSE),0)+IFERROR(VLOOKUP($B14,'RA8-Water Management Structures'!$A$11:$BN$18,MATCH(Summary!AZ$1,'RA8-Water Management Structures'!$A$9:$BN$9,1),FALSE),0)+IFERROR(VLOOKUP($B14,'RA9-Codisposal Upper'!$A$11:$BN$18,MATCH(Summary!AZ$1,'RA9-Codisposal Upper'!$A$9:$BN$9,1),FALSE),0)+IFERROR(VLOOKUP($B14,'RA10-Codisposal Slopes'!$A$11:$BN$18,MATCH(Summary!AZ$1,'RA10-Codisposal Slopes'!$A$9:$BN$9,1),FALSE),0)+IFERROR(VLOOKUP($B14,'IA1-Final Void inc Ramps'!$A$11:$BN$18,MATCH(Summary!AZ$1,'IA1-Final Void inc Ramps'!$A$9:$BN$9,1),FALSE),0)</f>
        <v>1901.2130000000002</v>
      </c>
      <c r="BA14" s="47">
        <f>IFERROR(VLOOKUP($B14,'RA1- Elevated Dumps Upper'!$A$11:$BN$18,MATCH(Summary!BA$1,'RA1- Elevated Dumps Upper'!$A$9:$BN$9,1),FALSE),0)+IFERROR(VLOOKUP($B14,'RA2-Elevated Dumps Slopes'!$A$11:$BN$18,MATCH(Summary!BA$1,'RA2-Elevated Dumps Slopes'!$A$9:$BN$9,1),FALSE),0)+IFERROR(VLOOKUP($B14,'RA3-Backfilled Pits'!$A$11:$BN$18,MATCH(Summary!BA$1,'RA3-Backfilled Pits'!$A$9:$BN$9,1),FALSE),0)+IFERROR(VLOOKUP($B14,'RA4-Tracks_Roads'!$A$11:$BN$18,MATCH(Summary!BA$1,'RA4-Tracks_Roads'!$A$9:$BN$9,1),FALSE),0)+IFERROR(VLOOKUP($B14,'RA5-ROM'!$A$11:$BN$18,MATCH(Summary!BA$1,'RA5-ROM'!$A$9:$BN$9,1),FALSE),0)+IFERROR(VLOOKUP($B14,'RA6-CHPP'!$A$11:$BN$18,MATCH(Summary!BA$1,'RA6-CHPP'!$A$9:$BN$9,1),FALSE),0)+IFERROR(VLOOKUP($B14,'RA7-Mine Infrastructure Area'!$A$11:$BN$18,MATCH(Summary!BA$1,'RA7-Mine Infrastructure Area'!$A$9:$BN$9,1),FALSE),0)+IFERROR(VLOOKUP($B14,'RA8-Water Management Structures'!$A$11:$BN$18,MATCH(Summary!BA$1,'RA8-Water Management Structures'!$A$9:$BN$9,1),FALSE),0)+IFERROR(VLOOKUP($B14,'RA9-Codisposal Upper'!$A$11:$BN$18,MATCH(Summary!BA$1,'RA9-Codisposal Upper'!$A$9:$BN$9,1),FALSE),0)+IFERROR(VLOOKUP($B14,'RA10-Codisposal Slopes'!$A$11:$BN$18,MATCH(Summary!BA$1,'RA10-Codisposal Slopes'!$A$9:$BN$9,1),FALSE),0)+IFERROR(VLOOKUP($B14,'IA1-Final Void inc Ramps'!$A$11:$BN$18,MATCH(Summary!BA$1,'IA1-Final Void inc Ramps'!$A$9:$BN$9,1),FALSE),0)</f>
        <v>1901.2130000000002</v>
      </c>
      <c r="BB14" s="47">
        <f>IFERROR(VLOOKUP($B14,'RA1- Elevated Dumps Upper'!$A$11:$BN$18,MATCH(Summary!BB$1,'RA1- Elevated Dumps Upper'!$A$9:$BN$9,1),FALSE),0)+IFERROR(VLOOKUP($B14,'RA2-Elevated Dumps Slopes'!$A$11:$BN$18,MATCH(Summary!BB$1,'RA2-Elevated Dumps Slopes'!$A$9:$BN$9,1),FALSE),0)+IFERROR(VLOOKUP($B14,'RA3-Backfilled Pits'!$A$11:$BN$18,MATCH(Summary!BB$1,'RA3-Backfilled Pits'!$A$9:$BN$9,1),FALSE),0)+IFERROR(VLOOKUP($B14,'RA4-Tracks_Roads'!$A$11:$BN$18,MATCH(Summary!BB$1,'RA4-Tracks_Roads'!$A$9:$BN$9,1),FALSE),0)+IFERROR(VLOOKUP($B14,'RA5-ROM'!$A$11:$BN$18,MATCH(Summary!BB$1,'RA5-ROM'!$A$9:$BN$9,1),FALSE),0)+IFERROR(VLOOKUP($B14,'RA6-CHPP'!$A$11:$BN$18,MATCH(Summary!BB$1,'RA6-CHPP'!$A$9:$BN$9,1),FALSE),0)+IFERROR(VLOOKUP($B14,'RA7-Mine Infrastructure Area'!$A$11:$BN$18,MATCH(Summary!BB$1,'RA7-Mine Infrastructure Area'!$A$9:$BN$9,1),FALSE),0)+IFERROR(VLOOKUP($B14,'RA8-Water Management Structures'!$A$11:$BN$18,MATCH(Summary!BB$1,'RA8-Water Management Structures'!$A$9:$BN$9,1),FALSE),0)+IFERROR(VLOOKUP($B14,'RA9-Codisposal Upper'!$A$11:$BN$18,MATCH(Summary!BB$1,'RA9-Codisposal Upper'!$A$9:$BN$9,1),FALSE),0)+IFERROR(VLOOKUP($B14,'RA10-Codisposal Slopes'!$A$11:$BN$18,MATCH(Summary!BB$1,'RA10-Codisposal Slopes'!$A$9:$BN$9,1),FALSE),0)+IFERROR(VLOOKUP($B14,'IA1-Final Void inc Ramps'!$A$11:$BN$18,MATCH(Summary!BB$1,'IA1-Final Void inc Ramps'!$A$9:$BN$9,1),FALSE),0)</f>
        <v>1901.2130000000002</v>
      </c>
      <c r="BC14" s="47">
        <f>IFERROR(VLOOKUP($B14,'RA1- Elevated Dumps Upper'!$A$11:$BN$18,MATCH(Summary!BC$1,'RA1- Elevated Dumps Upper'!$A$9:$BN$9,1),FALSE),0)+IFERROR(VLOOKUP($B14,'RA2-Elevated Dumps Slopes'!$A$11:$BN$18,MATCH(Summary!BC$1,'RA2-Elevated Dumps Slopes'!$A$9:$BN$9,1),FALSE),0)+IFERROR(VLOOKUP($B14,'RA3-Backfilled Pits'!$A$11:$BN$18,MATCH(Summary!BC$1,'RA3-Backfilled Pits'!$A$9:$BN$9,1),FALSE),0)+IFERROR(VLOOKUP($B14,'RA4-Tracks_Roads'!$A$11:$BN$18,MATCH(Summary!BC$1,'RA4-Tracks_Roads'!$A$9:$BN$9,1),FALSE),0)+IFERROR(VLOOKUP($B14,'RA5-ROM'!$A$11:$BN$18,MATCH(Summary!BC$1,'RA5-ROM'!$A$9:$BN$9,1),FALSE),0)+IFERROR(VLOOKUP($B14,'RA6-CHPP'!$A$11:$BN$18,MATCH(Summary!BC$1,'RA6-CHPP'!$A$9:$BN$9,1),FALSE),0)+IFERROR(VLOOKUP($B14,'RA7-Mine Infrastructure Area'!$A$11:$BN$18,MATCH(Summary!BC$1,'RA7-Mine Infrastructure Area'!$A$9:$BN$9,1),FALSE),0)+IFERROR(VLOOKUP($B14,'RA8-Water Management Structures'!$A$11:$BN$18,MATCH(Summary!BC$1,'RA8-Water Management Structures'!$A$9:$BN$9,1),FALSE),0)+IFERROR(VLOOKUP($B14,'RA9-Codisposal Upper'!$A$11:$BN$18,MATCH(Summary!BC$1,'RA9-Codisposal Upper'!$A$9:$BN$9,1),FALSE),0)+IFERROR(VLOOKUP($B14,'RA10-Codisposal Slopes'!$A$11:$BN$18,MATCH(Summary!BC$1,'RA10-Codisposal Slopes'!$A$9:$BN$9,1),FALSE),0)+IFERROR(VLOOKUP($B14,'IA1-Final Void inc Ramps'!$A$11:$BN$18,MATCH(Summary!BC$1,'IA1-Final Void inc Ramps'!$A$9:$BN$9,1),FALSE),0)</f>
        <v>1901.2130000000002</v>
      </c>
      <c r="BD14" s="47">
        <f>IFERROR(VLOOKUP($B14,'RA1- Elevated Dumps Upper'!$A$11:$BN$18,MATCH(Summary!BD$1,'RA1- Elevated Dumps Upper'!$A$9:$BN$9,1),FALSE),0)+IFERROR(VLOOKUP($B14,'RA2-Elevated Dumps Slopes'!$A$11:$BN$18,MATCH(Summary!BD$1,'RA2-Elevated Dumps Slopes'!$A$9:$BN$9,1),FALSE),0)+IFERROR(VLOOKUP($B14,'RA3-Backfilled Pits'!$A$11:$BN$18,MATCH(Summary!BD$1,'RA3-Backfilled Pits'!$A$9:$BN$9,1),FALSE),0)+IFERROR(VLOOKUP($B14,'RA4-Tracks_Roads'!$A$11:$BN$18,MATCH(Summary!BD$1,'RA4-Tracks_Roads'!$A$9:$BN$9,1),FALSE),0)+IFERROR(VLOOKUP($B14,'RA5-ROM'!$A$11:$BN$18,MATCH(Summary!BD$1,'RA5-ROM'!$A$9:$BN$9,1),FALSE),0)+IFERROR(VLOOKUP($B14,'RA6-CHPP'!$A$11:$BN$18,MATCH(Summary!BD$1,'RA6-CHPP'!$A$9:$BN$9,1),FALSE),0)+IFERROR(VLOOKUP($B14,'RA7-Mine Infrastructure Area'!$A$11:$BN$18,MATCH(Summary!BD$1,'RA7-Mine Infrastructure Area'!$A$9:$BN$9,1),FALSE),0)+IFERROR(VLOOKUP($B14,'RA8-Water Management Structures'!$A$11:$BN$18,MATCH(Summary!BD$1,'RA8-Water Management Structures'!$A$9:$BN$9,1),FALSE),0)+IFERROR(VLOOKUP($B14,'RA9-Codisposal Upper'!$A$11:$BN$18,MATCH(Summary!BD$1,'RA9-Codisposal Upper'!$A$9:$BN$9,1),FALSE),0)+IFERROR(VLOOKUP($B14,'RA10-Codisposal Slopes'!$A$11:$BN$18,MATCH(Summary!BD$1,'RA10-Codisposal Slopes'!$A$9:$BN$9,1),FALSE),0)+IFERROR(VLOOKUP($B14,'IA1-Final Void inc Ramps'!$A$11:$BN$18,MATCH(Summary!BD$1,'IA1-Final Void inc Ramps'!$A$9:$BN$9,1),FALSE),0)</f>
        <v>1901.2130000000002</v>
      </c>
      <c r="BE14" s="47">
        <f>IFERROR(VLOOKUP($B14,'RA1- Elevated Dumps Upper'!$A$11:$BN$18,MATCH(Summary!BE$1,'RA1- Elevated Dumps Upper'!$A$9:$BN$9,1),FALSE),0)+IFERROR(VLOOKUP($B14,'RA2-Elevated Dumps Slopes'!$A$11:$BN$18,MATCH(Summary!BE$1,'RA2-Elevated Dumps Slopes'!$A$9:$BN$9,1),FALSE),0)+IFERROR(VLOOKUP($B14,'RA3-Backfilled Pits'!$A$11:$BN$18,MATCH(Summary!BE$1,'RA3-Backfilled Pits'!$A$9:$BN$9,1),FALSE),0)+IFERROR(VLOOKUP($B14,'RA4-Tracks_Roads'!$A$11:$BN$18,MATCH(Summary!BE$1,'RA4-Tracks_Roads'!$A$9:$BN$9,1),FALSE),0)+IFERROR(VLOOKUP($B14,'RA5-ROM'!$A$11:$BN$18,MATCH(Summary!BE$1,'RA5-ROM'!$A$9:$BN$9,1),FALSE),0)+IFERROR(VLOOKUP($B14,'RA6-CHPP'!$A$11:$BN$18,MATCH(Summary!BE$1,'RA6-CHPP'!$A$9:$BN$9,1),FALSE),0)+IFERROR(VLOOKUP($B14,'RA7-Mine Infrastructure Area'!$A$11:$BN$18,MATCH(Summary!BE$1,'RA7-Mine Infrastructure Area'!$A$9:$BN$9,1),FALSE),0)+IFERROR(VLOOKUP($B14,'RA8-Water Management Structures'!$A$11:$BN$18,MATCH(Summary!BE$1,'RA8-Water Management Structures'!$A$9:$BN$9,1),FALSE),0)+IFERROR(VLOOKUP($B14,'RA9-Codisposal Upper'!$A$11:$BN$18,MATCH(Summary!BE$1,'RA9-Codisposal Upper'!$A$9:$BN$9,1),FALSE),0)+IFERROR(VLOOKUP($B14,'RA10-Codisposal Slopes'!$A$11:$BN$18,MATCH(Summary!BE$1,'RA10-Codisposal Slopes'!$A$9:$BN$9,1),FALSE),0)+IFERROR(VLOOKUP($B14,'IA1-Final Void inc Ramps'!$A$11:$BN$18,MATCH(Summary!BE$1,'IA1-Final Void inc Ramps'!$A$9:$BN$9,1),FALSE),0)</f>
        <v>1901.2130000000002</v>
      </c>
      <c r="BF14" s="47">
        <f>IFERROR(VLOOKUP($B14,'RA1- Elevated Dumps Upper'!$A$11:$BN$18,MATCH(Summary!BF$1,'RA1- Elevated Dumps Upper'!$A$9:$BN$9,1),FALSE),0)+IFERROR(VLOOKUP($B14,'RA2-Elevated Dumps Slopes'!$A$11:$BN$18,MATCH(Summary!BF$1,'RA2-Elevated Dumps Slopes'!$A$9:$BN$9,1),FALSE),0)+IFERROR(VLOOKUP($B14,'RA3-Backfilled Pits'!$A$11:$BN$18,MATCH(Summary!BF$1,'RA3-Backfilled Pits'!$A$9:$BN$9,1),FALSE),0)+IFERROR(VLOOKUP($B14,'RA4-Tracks_Roads'!$A$11:$BN$18,MATCH(Summary!BF$1,'RA4-Tracks_Roads'!$A$9:$BN$9,1),FALSE),0)+IFERROR(VLOOKUP($B14,'RA5-ROM'!$A$11:$BN$18,MATCH(Summary!BF$1,'RA5-ROM'!$A$9:$BN$9,1),FALSE),0)+IFERROR(VLOOKUP($B14,'RA6-CHPP'!$A$11:$BN$18,MATCH(Summary!BF$1,'RA6-CHPP'!$A$9:$BN$9,1),FALSE),0)+IFERROR(VLOOKUP($B14,'RA7-Mine Infrastructure Area'!$A$11:$BN$18,MATCH(Summary!BF$1,'RA7-Mine Infrastructure Area'!$A$9:$BN$9,1),FALSE),0)+IFERROR(VLOOKUP($B14,'RA8-Water Management Structures'!$A$11:$BN$18,MATCH(Summary!BF$1,'RA8-Water Management Structures'!$A$9:$BN$9,1),FALSE),0)+IFERROR(VLOOKUP($B14,'RA9-Codisposal Upper'!$A$11:$BN$18,MATCH(Summary!BF$1,'RA9-Codisposal Upper'!$A$9:$BN$9,1),FALSE),0)+IFERROR(VLOOKUP($B14,'RA10-Codisposal Slopes'!$A$11:$BN$18,MATCH(Summary!BF$1,'RA10-Codisposal Slopes'!$A$9:$BN$9,1),FALSE),0)+IFERROR(VLOOKUP($B14,'IA1-Final Void inc Ramps'!$A$11:$BN$18,MATCH(Summary!BF$1,'IA1-Final Void inc Ramps'!$A$9:$BN$9,1),FALSE),0)</f>
        <v>1901.2130000000002</v>
      </c>
      <c r="BG14" s="47">
        <f>IFERROR(VLOOKUP($B14,'RA1- Elevated Dumps Upper'!$A$11:$BN$18,MATCH(Summary!BG$1,'RA1- Elevated Dumps Upper'!$A$9:$BN$9,1),FALSE),0)+IFERROR(VLOOKUP($B14,'RA2-Elevated Dumps Slopes'!$A$11:$BN$18,MATCH(Summary!BG$1,'RA2-Elevated Dumps Slopes'!$A$9:$BN$9,1),FALSE),0)+IFERROR(VLOOKUP($B14,'RA3-Backfilled Pits'!$A$11:$BN$18,MATCH(Summary!BG$1,'RA3-Backfilled Pits'!$A$9:$BN$9,1),FALSE),0)+IFERROR(VLOOKUP($B14,'RA4-Tracks_Roads'!$A$11:$BN$18,MATCH(Summary!BG$1,'RA4-Tracks_Roads'!$A$9:$BN$9,1),FALSE),0)+IFERROR(VLOOKUP($B14,'RA5-ROM'!$A$11:$BN$18,MATCH(Summary!BG$1,'RA5-ROM'!$A$9:$BN$9,1),FALSE),0)+IFERROR(VLOOKUP($B14,'RA6-CHPP'!$A$11:$BN$18,MATCH(Summary!BG$1,'RA6-CHPP'!$A$9:$BN$9,1),FALSE),0)+IFERROR(VLOOKUP($B14,'RA7-Mine Infrastructure Area'!$A$11:$BN$18,MATCH(Summary!BG$1,'RA7-Mine Infrastructure Area'!$A$9:$BN$9,1),FALSE),0)+IFERROR(VLOOKUP($B14,'RA8-Water Management Structures'!$A$11:$BN$18,MATCH(Summary!BG$1,'RA8-Water Management Structures'!$A$9:$BN$9,1),FALSE),0)+IFERROR(VLOOKUP($B14,'RA9-Codisposal Upper'!$A$11:$BN$18,MATCH(Summary!BG$1,'RA9-Codisposal Upper'!$A$9:$BN$9,1),FALSE),0)+IFERROR(VLOOKUP($B14,'RA10-Codisposal Slopes'!$A$11:$BN$18,MATCH(Summary!BG$1,'RA10-Codisposal Slopes'!$A$9:$BN$9,1),FALSE),0)+IFERROR(VLOOKUP($B14,'IA1-Final Void inc Ramps'!$A$11:$BN$18,MATCH(Summary!BG$1,'IA1-Final Void inc Ramps'!$A$9:$BN$9,1),FALSE),0)</f>
        <v>1901.2130000000002</v>
      </c>
      <c r="BH14" s="47">
        <f>IFERROR(VLOOKUP($B14,'RA1- Elevated Dumps Upper'!$A$11:$BN$18,MATCH(Summary!BH$1,'RA1- Elevated Dumps Upper'!$A$9:$BN$9,1),FALSE),0)+IFERROR(VLOOKUP($B14,'RA2-Elevated Dumps Slopes'!$A$11:$BN$18,MATCH(Summary!BH$1,'RA2-Elevated Dumps Slopes'!$A$9:$BN$9,1),FALSE),0)+IFERROR(VLOOKUP($B14,'RA3-Backfilled Pits'!$A$11:$BN$18,MATCH(Summary!BH$1,'RA3-Backfilled Pits'!$A$9:$BN$9,1),FALSE),0)+IFERROR(VLOOKUP($B14,'RA4-Tracks_Roads'!$A$11:$BN$18,MATCH(Summary!BH$1,'RA4-Tracks_Roads'!$A$9:$BN$9,1),FALSE),0)+IFERROR(VLOOKUP($B14,'RA5-ROM'!$A$11:$BN$18,MATCH(Summary!BH$1,'RA5-ROM'!$A$9:$BN$9,1),FALSE),0)+IFERROR(VLOOKUP($B14,'RA6-CHPP'!$A$11:$BN$18,MATCH(Summary!BH$1,'RA6-CHPP'!$A$9:$BN$9,1),FALSE),0)+IFERROR(VLOOKUP($B14,'RA7-Mine Infrastructure Area'!$A$11:$BN$18,MATCH(Summary!BH$1,'RA7-Mine Infrastructure Area'!$A$9:$BN$9,1),FALSE),0)+IFERROR(VLOOKUP($B14,'RA8-Water Management Structures'!$A$11:$BN$18,MATCH(Summary!BH$1,'RA8-Water Management Structures'!$A$9:$BN$9,1),FALSE),0)+IFERROR(VLOOKUP($B14,'RA9-Codisposal Upper'!$A$11:$BN$18,MATCH(Summary!BH$1,'RA9-Codisposal Upper'!$A$9:$BN$9,1),FALSE),0)+IFERROR(VLOOKUP($B14,'RA10-Codisposal Slopes'!$A$11:$BN$18,MATCH(Summary!BH$1,'RA10-Codisposal Slopes'!$A$9:$BN$9,1),FALSE),0)+IFERROR(VLOOKUP($B14,'IA1-Final Void inc Ramps'!$A$11:$BN$18,MATCH(Summary!BH$1,'IA1-Final Void inc Ramps'!$A$9:$BN$9,1),FALSE),0)</f>
        <v>1901.2130000000002</v>
      </c>
      <c r="BI14" s="47">
        <f>IFERROR(VLOOKUP($B14,'RA1- Elevated Dumps Upper'!$A$11:$BN$18,MATCH(Summary!BI$1,'RA1- Elevated Dumps Upper'!$A$9:$BN$9,1),FALSE),0)+IFERROR(VLOOKUP($B14,'RA2-Elevated Dumps Slopes'!$A$11:$BN$18,MATCH(Summary!BI$1,'RA2-Elevated Dumps Slopes'!$A$9:$BN$9,1),FALSE),0)+IFERROR(VLOOKUP($B14,'RA3-Backfilled Pits'!$A$11:$BN$18,MATCH(Summary!BI$1,'RA3-Backfilled Pits'!$A$9:$BN$9,1),FALSE),0)+IFERROR(VLOOKUP($B14,'RA4-Tracks_Roads'!$A$11:$BN$18,MATCH(Summary!BI$1,'RA4-Tracks_Roads'!$A$9:$BN$9,1),FALSE),0)+IFERROR(VLOOKUP($B14,'RA5-ROM'!$A$11:$BN$18,MATCH(Summary!BI$1,'RA5-ROM'!$A$9:$BN$9,1),FALSE),0)+IFERROR(VLOOKUP($B14,'RA6-CHPP'!$A$11:$BN$18,MATCH(Summary!BI$1,'RA6-CHPP'!$A$9:$BN$9,1),FALSE),0)+IFERROR(VLOOKUP($B14,'RA7-Mine Infrastructure Area'!$A$11:$BN$18,MATCH(Summary!BI$1,'RA7-Mine Infrastructure Area'!$A$9:$BN$9,1),FALSE),0)+IFERROR(VLOOKUP($B14,'RA8-Water Management Structures'!$A$11:$BN$18,MATCH(Summary!BI$1,'RA8-Water Management Structures'!$A$9:$BN$9,1),FALSE),0)+IFERROR(VLOOKUP($B14,'RA9-Codisposal Upper'!$A$11:$BN$18,MATCH(Summary!BI$1,'RA9-Codisposal Upper'!$A$9:$BN$9,1),FALSE),0)+IFERROR(VLOOKUP($B14,'RA10-Codisposal Slopes'!$A$11:$BN$18,MATCH(Summary!BI$1,'RA10-Codisposal Slopes'!$A$9:$BN$9,1),FALSE),0)+IFERROR(VLOOKUP($B14,'IA1-Final Void inc Ramps'!$A$11:$BN$18,MATCH(Summary!BI$1,'IA1-Final Void inc Ramps'!$A$9:$BN$9,1),FALSE),0)</f>
        <v>1901.2130000000002</v>
      </c>
      <c r="BJ14" s="47">
        <f>IFERROR(VLOOKUP($B14,'RA1- Elevated Dumps Upper'!$A$11:$BN$18,MATCH(Summary!BJ$1,'RA1- Elevated Dumps Upper'!$A$9:$BN$9,1),FALSE),0)+IFERROR(VLOOKUP($B14,'RA2-Elevated Dumps Slopes'!$A$11:$BN$18,MATCH(Summary!BJ$1,'RA2-Elevated Dumps Slopes'!$A$9:$BN$9,1),FALSE),0)+IFERROR(VLOOKUP($B14,'RA3-Backfilled Pits'!$A$11:$BN$18,MATCH(Summary!BJ$1,'RA3-Backfilled Pits'!$A$9:$BN$9,1),FALSE),0)+IFERROR(VLOOKUP($B14,'RA4-Tracks_Roads'!$A$11:$BN$18,MATCH(Summary!BJ$1,'RA4-Tracks_Roads'!$A$9:$BN$9,1),FALSE),0)+IFERROR(VLOOKUP($B14,'RA5-ROM'!$A$11:$BN$18,MATCH(Summary!BJ$1,'RA5-ROM'!$A$9:$BN$9,1),FALSE),0)+IFERROR(VLOOKUP($B14,'RA6-CHPP'!$A$11:$BN$18,MATCH(Summary!BJ$1,'RA6-CHPP'!$A$9:$BN$9,1),FALSE),0)+IFERROR(VLOOKUP($B14,'RA7-Mine Infrastructure Area'!$A$11:$BN$18,MATCH(Summary!BJ$1,'RA7-Mine Infrastructure Area'!$A$9:$BN$9,1),FALSE),0)+IFERROR(VLOOKUP($B14,'RA8-Water Management Structures'!$A$11:$BN$18,MATCH(Summary!BJ$1,'RA8-Water Management Structures'!$A$9:$BN$9,1),FALSE),0)+IFERROR(VLOOKUP($B14,'RA9-Codisposal Upper'!$A$11:$BN$18,MATCH(Summary!BJ$1,'RA9-Codisposal Upper'!$A$9:$BN$9,1),FALSE),0)+IFERROR(VLOOKUP($B14,'RA10-Codisposal Slopes'!$A$11:$BN$18,MATCH(Summary!BJ$1,'RA10-Codisposal Slopes'!$A$9:$BN$9,1),FALSE),0)+IFERROR(VLOOKUP($B14,'IA1-Final Void inc Ramps'!$A$11:$BN$18,MATCH(Summary!BJ$1,'IA1-Final Void inc Ramps'!$A$9:$BN$9,1),FALSE),0)</f>
        <v>1901.2130000000002</v>
      </c>
      <c r="BK14" s="47">
        <f>IFERROR(VLOOKUP($B14,'RA1- Elevated Dumps Upper'!$A$11:$BN$18,MATCH(Summary!BK$1,'RA1- Elevated Dumps Upper'!$A$9:$BN$9,1),FALSE),0)+IFERROR(VLOOKUP($B14,'RA2-Elevated Dumps Slopes'!$A$11:$BN$18,MATCH(Summary!BK$1,'RA2-Elevated Dumps Slopes'!$A$9:$BN$9,1),FALSE),0)+IFERROR(VLOOKUP($B14,'RA3-Backfilled Pits'!$A$11:$BN$18,MATCH(Summary!BK$1,'RA3-Backfilled Pits'!$A$9:$BN$9,1),FALSE),0)+IFERROR(VLOOKUP($B14,'RA4-Tracks_Roads'!$A$11:$BN$18,MATCH(Summary!BK$1,'RA4-Tracks_Roads'!$A$9:$BN$9,1),FALSE),0)+IFERROR(VLOOKUP($B14,'RA5-ROM'!$A$11:$BN$18,MATCH(Summary!BK$1,'RA5-ROM'!$A$9:$BN$9,1),FALSE),0)+IFERROR(VLOOKUP($B14,'RA6-CHPP'!$A$11:$BN$18,MATCH(Summary!BK$1,'RA6-CHPP'!$A$9:$BN$9,1),FALSE),0)+IFERROR(VLOOKUP($B14,'RA7-Mine Infrastructure Area'!$A$11:$BN$18,MATCH(Summary!BK$1,'RA7-Mine Infrastructure Area'!$A$9:$BN$9,1),FALSE),0)+IFERROR(VLOOKUP($B14,'RA8-Water Management Structures'!$A$11:$BN$18,MATCH(Summary!BK$1,'RA8-Water Management Structures'!$A$9:$BN$9,1),FALSE),0)+IFERROR(VLOOKUP($B14,'RA9-Codisposal Upper'!$A$11:$BN$18,MATCH(Summary!BK$1,'RA9-Codisposal Upper'!$A$9:$BN$9,1),FALSE),0)+IFERROR(VLOOKUP($B14,'RA10-Codisposal Slopes'!$A$11:$BN$18,MATCH(Summary!BK$1,'RA10-Codisposal Slopes'!$A$9:$BN$9,1),FALSE),0)+IFERROR(VLOOKUP($B14,'IA1-Final Void inc Ramps'!$A$11:$BN$18,MATCH(Summary!BK$1,'IA1-Final Void inc Ramps'!$A$9:$BN$9,1),FALSE),0)</f>
        <v>1901.2130000000002</v>
      </c>
      <c r="BL14" s="47">
        <f>IFERROR(VLOOKUP($B14,'RA1- Elevated Dumps Upper'!$A$11:$BN$18,MATCH(Summary!BL$1,'RA1- Elevated Dumps Upper'!$A$9:$BN$9,1),FALSE),0)+IFERROR(VLOOKUP($B14,'RA2-Elevated Dumps Slopes'!$A$11:$BN$18,MATCH(Summary!BL$1,'RA2-Elevated Dumps Slopes'!$A$9:$BN$9,1),FALSE),0)+IFERROR(VLOOKUP($B14,'RA3-Backfilled Pits'!$A$11:$BN$18,MATCH(Summary!BL$1,'RA3-Backfilled Pits'!$A$9:$BN$9,1),FALSE),0)+IFERROR(VLOOKUP($B14,'RA4-Tracks_Roads'!$A$11:$BN$18,MATCH(Summary!BL$1,'RA4-Tracks_Roads'!$A$9:$BN$9,1),FALSE),0)+IFERROR(VLOOKUP($B14,'RA5-ROM'!$A$11:$BN$18,MATCH(Summary!BL$1,'RA5-ROM'!$A$9:$BN$9,1),FALSE),0)+IFERROR(VLOOKUP($B14,'RA6-CHPP'!$A$11:$BN$18,MATCH(Summary!BL$1,'RA6-CHPP'!$A$9:$BN$9,1),FALSE),0)+IFERROR(VLOOKUP($B14,'RA7-Mine Infrastructure Area'!$A$11:$BN$18,MATCH(Summary!BL$1,'RA7-Mine Infrastructure Area'!$A$9:$BN$9,1),FALSE),0)+IFERROR(VLOOKUP($B14,'RA8-Water Management Structures'!$A$11:$BN$18,MATCH(Summary!BL$1,'RA8-Water Management Structures'!$A$9:$BN$9,1),FALSE),0)+IFERROR(VLOOKUP($B14,'RA9-Codisposal Upper'!$A$11:$BN$18,MATCH(Summary!BL$1,'RA9-Codisposal Upper'!$A$9:$BN$9,1),FALSE),0)+IFERROR(VLOOKUP($B14,'RA10-Codisposal Slopes'!$A$11:$BN$18,MATCH(Summary!BL$1,'RA10-Codisposal Slopes'!$A$9:$BN$9,1),FALSE),0)+IFERROR(VLOOKUP($B14,'IA1-Final Void inc Ramps'!$A$11:$BN$18,MATCH(Summary!BL$1,'IA1-Final Void inc Ramps'!$A$9:$BN$9,1),FALSE),0)</f>
        <v>1901.2130000000002</v>
      </c>
      <c r="BM14" s="47">
        <f>IFERROR(VLOOKUP($B14,'RA1- Elevated Dumps Upper'!$A$11:$BN$18,MATCH(Summary!BM$1,'RA1- Elevated Dumps Upper'!$A$9:$BN$9,1),FALSE),0)+IFERROR(VLOOKUP($B14,'RA2-Elevated Dumps Slopes'!$A$11:$BN$18,MATCH(Summary!BM$1,'RA2-Elevated Dumps Slopes'!$A$9:$BN$9,1),FALSE),0)+IFERROR(VLOOKUP($B14,'RA3-Backfilled Pits'!$A$11:$BN$18,MATCH(Summary!BM$1,'RA3-Backfilled Pits'!$A$9:$BN$9,1),FALSE),0)+IFERROR(VLOOKUP($B14,'RA4-Tracks_Roads'!$A$11:$BN$18,MATCH(Summary!BM$1,'RA4-Tracks_Roads'!$A$9:$BN$9,1),FALSE),0)+IFERROR(VLOOKUP($B14,'RA5-ROM'!$A$11:$BN$18,MATCH(Summary!BM$1,'RA5-ROM'!$A$9:$BN$9,1),FALSE),0)+IFERROR(VLOOKUP($B14,'RA6-CHPP'!$A$11:$BN$18,MATCH(Summary!BM$1,'RA6-CHPP'!$A$9:$BN$9,1),FALSE),0)+IFERROR(VLOOKUP($B14,'RA7-Mine Infrastructure Area'!$A$11:$BN$18,MATCH(Summary!BM$1,'RA7-Mine Infrastructure Area'!$A$9:$BN$9,1),FALSE),0)+IFERROR(VLOOKUP($B14,'RA8-Water Management Structures'!$A$11:$BN$18,MATCH(Summary!BM$1,'RA8-Water Management Structures'!$A$9:$BN$9,1),FALSE),0)+IFERROR(VLOOKUP($B14,'RA9-Codisposal Upper'!$A$11:$BN$18,MATCH(Summary!BM$1,'RA9-Codisposal Upper'!$A$9:$BN$9,1),FALSE),0)+IFERROR(VLOOKUP($B14,'RA10-Codisposal Slopes'!$A$11:$BN$18,MATCH(Summary!BM$1,'RA10-Codisposal Slopes'!$A$9:$BN$9,1),FALSE),0)+IFERROR(VLOOKUP($B14,'IA1-Final Void inc Ramps'!$A$11:$BN$18,MATCH(Summary!BM$1,'IA1-Final Void inc Ramps'!$A$9:$BN$9,1),FALSE),0)</f>
        <v>1901.2130000000002</v>
      </c>
      <c r="BN14" s="47">
        <f>IFERROR(VLOOKUP($B14,'RA1- Elevated Dumps Upper'!$A$11:$BN$18,MATCH(Summary!BN$1,'RA1- Elevated Dumps Upper'!$A$9:$BN$9,1),FALSE),0)+IFERROR(VLOOKUP($B14,'RA2-Elevated Dumps Slopes'!$A$11:$BN$18,MATCH(Summary!BN$1,'RA2-Elevated Dumps Slopes'!$A$9:$BN$9,1),FALSE),0)+IFERROR(VLOOKUP($B14,'RA3-Backfilled Pits'!$A$11:$BN$18,MATCH(Summary!BN$1,'RA3-Backfilled Pits'!$A$9:$BN$9,1),FALSE),0)+IFERROR(VLOOKUP($B14,'RA4-Tracks_Roads'!$A$11:$BN$18,MATCH(Summary!BN$1,'RA4-Tracks_Roads'!$A$9:$BN$9,1),FALSE),0)+IFERROR(VLOOKUP($B14,'RA5-ROM'!$A$11:$BN$18,MATCH(Summary!BN$1,'RA5-ROM'!$A$9:$BN$9,1),FALSE),0)+IFERROR(VLOOKUP($B14,'RA6-CHPP'!$A$11:$BN$18,MATCH(Summary!BN$1,'RA6-CHPP'!$A$9:$BN$9,1),FALSE),0)+IFERROR(VLOOKUP($B14,'RA7-Mine Infrastructure Area'!$A$11:$BN$18,MATCH(Summary!BN$1,'RA7-Mine Infrastructure Area'!$A$9:$BN$9,1),FALSE),0)+IFERROR(VLOOKUP($B14,'RA8-Water Management Structures'!$A$11:$BN$18,MATCH(Summary!BN$1,'RA8-Water Management Structures'!$A$9:$BN$9,1),FALSE),0)+IFERROR(VLOOKUP($B14,'RA9-Codisposal Upper'!$A$11:$BN$18,MATCH(Summary!BN$1,'RA9-Codisposal Upper'!$A$9:$BN$9,1),FALSE),0)+IFERROR(VLOOKUP($B14,'RA10-Codisposal Slopes'!$A$11:$BN$18,MATCH(Summary!BN$1,'RA10-Codisposal Slopes'!$A$9:$BN$9,1),FALSE),0)+IFERROR(VLOOKUP($B14,'IA1-Final Void inc Ramps'!$A$11:$BN$18,MATCH(Summary!BN$1,'IA1-Final Void inc Ramps'!$A$9:$BN$9,1),FALSE),0)</f>
        <v>1901.2130000000002</v>
      </c>
    </row>
    <row r="15" spans="1:66" x14ac:dyDescent="0.35">
      <c r="B15" t="s">
        <v>46</v>
      </c>
      <c r="D15" s="47">
        <f>IFERROR(VLOOKUP($B15,'RA1- Elevated Dumps Upper'!$A$11:$BN$18,MATCH(Summary!D$1,'RA1- Elevated Dumps Upper'!$A$9:$BN$9,1),FALSE),0)+IFERROR(VLOOKUP($B15,'RA2-Elevated Dumps Slopes'!$A$11:$BN$18,MATCH(Summary!D$1,'RA2-Elevated Dumps Slopes'!$A$9:$BN$9,1),FALSE),0)+IFERROR(VLOOKUP($B15,'RA3-Backfilled Pits'!$A$11:$BN$18,MATCH(Summary!D$1,'RA3-Backfilled Pits'!$A$9:$BN$9,1),FALSE),0)+IFERROR(VLOOKUP($B15,'RA4-Tracks_Roads'!$A$11:$BN$18,MATCH(Summary!D$1,'RA4-Tracks_Roads'!$A$9:$BN$9,1),FALSE),0)+IFERROR(VLOOKUP($B15,'RA5-ROM'!$A$11:$BN$18,MATCH(Summary!D$1,'RA5-ROM'!$A$9:$BN$9,1),FALSE),0)+IFERROR(VLOOKUP($B15,'RA6-CHPP'!$A$11:$BN$18,MATCH(Summary!D$1,'RA6-CHPP'!$A$9:$BN$9,1),FALSE),0)+IFERROR(VLOOKUP($B15,'RA7-Mine Infrastructure Area'!$A$11:$BN$18,MATCH(Summary!D$1,'RA7-Mine Infrastructure Area'!$A$9:$BN$9,1),FALSE),0)+IFERROR(VLOOKUP($B15,'RA8-Water Management Structures'!$A$11:$BN$18,MATCH(Summary!D$1,'RA8-Water Management Structures'!$A$9:$BN$9,1),FALSE),0)+IFERROR(VLOOKUP($B15,'RA9-Codisposal Upper'!$A$11:$BN$18,MATCH(Summary!D$1,'RA9-Codisposal Upper'!$A$9:$BN$9,1),FALSE),0)+IFERROR(VLOOKUP($B15,'RA10-Codisposal Slopes'!$A$11:$BN$18,MATCH(Summary!D$1,'RA10-Codisposal Slopes'!$A$9:$BN$9,1),FALSE),0)+IFERROR(VLOOKUP($B15,'IA1-Final Void inc Ramps'!$A$11:$BN$18,MATCH(Summary!D$1,'IA1-Final Void inc Ramps'!$A$9:$BN$9,1),FALSE),0)</f>
        <v>0</v>
      </c>
      <c r="E15" s="47">
        <f>IFERROR(VLOOKUP($B15,'RA1- Elevated Dumps Upper'!$A$11:$BN$18,MATCH(Summary!E$1,'RA1- Elevated Dumps Upper'!$A$9:$BN$9,1),FALSE),0)+IFERROR(VLOOKUP($B15,'RA2-Elevated Dumps Slopes'!$A$11:$BN$18,MATCH(Summary!E$1,'RA2-Elevated Dumps Slopes'!$A$9:$BN$9,1),FALSE),0)+IFERROR(VLOOKUP($B15,'RA3-Backfilled Pits'!$A$11:$BN$18,MATCH(Summary!E$1,'RA3-Backfilled Pits'!$A$9:$BN$9,1),FALSE),0)+IFERROR(VLOOKUP($B15,'RA4-Tracks_Roads'!$A$11:$BN$18,MATCH(Summary!E$1,'RA4-Tracks_Roads'!$A$9:$BN$9,1),FALSE),0)+IFERROR(VLOOKUP($B15,'RA5-ROM'!$A$11:$BN$18,MATCH(Summary!E$1,'RA5-ROM'!$A$9:$BN$9,1),FALSE),0)+IFERROR(VLOOKUP($B15,'RA6-CHPP'!$A$11:$BN$18,MATCH(Summary!E$1,'RA6-CHPP'!$A$9:$BN$9,1),FALSE),0)+IFERROR(VLOOKUP($B15,'RA7-Mine Infrastructure Area'!$A$11:$BN$18,MATCH(Summary!E$1,'RA7-Mine Infrastructure Area'!$A$9:$BN$9,1),FALSE),0)+IFERROR(VLOOKUP($B15,'RA8-Water Management Structures'!$A$11:$BN$18,MATCH(Summary!E$1,'RA8-Water Management Structures'!$A$9:$BN$9,1),FALSE),0)+IFERROR(VLOOKUP($B15,'RA9-Codisposal Upper'!$A$11:$BN$18,MATCH(Summary!E$1,'RA9-Codisposal Upper'!$A$9:$BN$9,1),FALSE),0)+IFERROR(VLOOKUP($B15,'RA10-Codisposal Slopes'!$A$11:$BN$18,MATCH(Summary!E$1,'RA10-Codisposal Slopes'!$A$9:$BN$9,1),FALSE),0)+IFERROR(VLOOKUP($B15,'IA1-Final Void inc Ramps'!$A$11:$BN$18,MATCH(Summary!E$1,'IA1-Final Void inc Ramps'!$A$9:$BN$9,1),FALSE),0)</f>
        <v>0</v>
      </c>
      <c r="F15" s="47">
        <f>IFERROR(VLOOKUP($B15,'RA1- Elevated Dumps Upper'!$A$11:$BN$18,MATCH(Summary!F$1,'RA1- Elevated Dumps Upper'!$A$9:$BN$9,1),FALSE),0)+IFERROR(VLOOKUP($B15,'RA2-Elevated Dumps Slopes'!$A$11:$BN$18,MATCH(Summary!F$1,'RA2-Elevated Dumps Slopes'!$A$9:$BN$9,1),FALSE),0)+IFERROR(VLOOKUP($B15,'RA3-Backfilled Pits'!$A$11:$BN$18,MATCH(Summary!F$1,'RA3-Backfilled Pits'!$A$9:$BN$9,1),FALSE),0)+IFERROR(VLOOKUP($B15,'RA4-Tracks_Roads'!$A$11:$BN$18,MATCH(Summary!F$1,'RA4-Tracks_Roads'!$A$9:$BN$9,1),FALSE),0)+IFERROR(VLOOKUP($B15,'RA5-ROM'!$A$11:$BN$18,MATCH(Summary!F$1,'RA5-ROM'!$A$9:$BN$9,1),FALSE),0)+IFERROR(VLOOKUP($B15,'RA6-CHPP'!$A$11:$BN$18,MATCH(Summary!F$1,'RA6-CHPP'!$A$9:$BN$9,1),FALSE),0)+IFERROR(VLOOKUP($B15,'RA7-Mine Infrastructure Area'!$A$11:$BN$18,MATCH(Summary!F$1,'RA7-Mine Infrastructure Area'!$A$9:$BN$9,1),FALSE),0)+IFERROR(VLOOKUP($B15,'RA8-Water Management Structures'!$A$11:$BN$18,MATCH(Summary!F$1,'RA8-Water Management Structures'!$A$9:$BN$9,1),FALSE),0)+IFERROR(VLOOKUP($B15,'RA9-Codisposal Upper'!$A$11:$BN$18,MATCH(Summary!F$1,'RA9-Codisposal Upper'!$A$9:$BN$9,1),FALSE),0)+IFERROR(VLOOKUP($B15,'RA10-Codisposal Slopes'!$A$11:$BN$18,MATCH(Summary!F$1,'RA10-Codisposal Slopes'!$A$9:$BN$9,1),FALSE),0)+IFERROR(VLOOKUP($B15,'IA1-Final Void inc Ramps'!$A$11:$BN$18,MATCH(Summary!F$1,'IA1-Final Void inc Ramps'!$A$9:$BN$9,1),FALSE),0)</f>
        <v>0</v>
      </c>
      <c r="G15" s="47">
        <f>IFERROR(VLOOKUP($B15,'RA1- Elevated Dumps Upper'!$A$11:$BN$18,MATCH(Summary!G$1,'RA1- Elevated Dumps Upper'!$A$9:$BN$9,1),FALSE),0)+IFERROR(VLOOKUP($B15,'RA2-Elevated Dumps Slopes'!$A$11:$BN$18,MATCH(Summary!G$1,'RA2-Elevated Dumps Slopes'!$A$9:$BN$9,1),FALSE),0)+IFERROR(VLOOKUP($B15,'RA3-Backfilled Pits'!$A$11:$BN$18,MATCH(Summary!G$1,'RA3-Backfilled Pits'!$A$9:$BN$9,1),FALSE),0)+IFERROR(VLOOKUP($B15,'RA4-Tracks_Roads'!$A$11:$BN$18,MATCH(Summary!G$1,'RA4-Tracks_Roads'!$A$9:$BN$9,1),FALSE),0)+IFERROR(VLOOKUP($B15,'RA5-ROM'!$A$11:$BN$18,MATCH(Summary!G$1,'RA5-ROM'!$A$9:$BN$9,1),FALSE),0)+IFERROR(VLOOKUP($B15,'RA6-CHPP'!$A$11:$BN$18,MATCH(Summary!G$1,'RA6-CHPP'!$A$9:$BN$9,1),FALSE),0)+IFERROR(VLOOKUP($B15,'RA7-Mine Infrastructure Area'!$A$11:$BN$18,MATCH(Summary!G$1,'RA7-Mine Infrastructure Area'!$A$9:$BN$9,1),FALSE),0)+IFERROR(VLOOKUP($B15,'RA8-Water Management Structures'!$A$11:$BN$18,MATCH(Summary!G$1,'RA8-Water Management Structures'!$A$9:$BN$9,1),FALSE),0)+IFERROR(VLOOKUP($B15,'RA9-Codisposal Upper'!$A$11:$BN$18,MATCH(Summary!G$1,'RA9-Codisposal Upper'!$A$9:$BN$9,1),FALSE),0)+IFERROR(VLOOKUP($B15,'RA10-Codisposal Slopes'!$A$11:$BN$18,MATCH(Summary!G$1,'RA10-Codisposal Slopes'!$A$9:$BN$9,1),FALSE),0)+IFERROR(VLOOKUP($B15,'IA1-Final Void inc Ramps'!$A$11:$BN$18,MATCH(Summary!G$1,'IA1-Final Void inc Ramps'!$A$9:$BN$9,1),FALSE),0)</f>
        <v>0</v>
      </c>
      <c r="H15" s="47">
        <f>IFERROR(VLOOKUP($B15,'RA1- Elevated Dumps Upper'!$A$11:$BN$18,MATCH(Summary!H$1,'RA1- Elevated Dumps Upper'!$A$9:$BN$9,1),FALSE),0)+IFERROR(VLOOKUP($B15,'RA2-Elevated Dumps Slopes'!$A$11:$BN$18,MATCH(Summary!H$1,'RA2-Elevated Dumps Slopes'!$A$9:$BN$9,1),FALSE),0)+IFERROR(VLOOKUP($B15,'RA3-Backfilled Pits'!$A$11:$BN$18,MATCH(Summary!H$1,'RA3-Backfilled Pits'!$A$9:$BN$9,1),FALSE),0)+IFERROR(VLOOKUP($B15,'RA4-Tracks_Roads'!$A$11:$BN$18,MATCH(Summary!H$1,'RA4-Tracks_Roads'!$A$9:$BN$9,1),FALSE),0)+IFERROR(VLOOKUP($B15,'RA5-ROM'!$A$11:$BN$18,MATCH(Summary!H$1,'RA5-ROM'!$A$9:$BN$9,1),FALSE),0)+IFERROR(VLOOKUP($B15,'RA6-CHPP'!$A$11:$BN$18,MATCH(Summary!H$1,'RA6-CHPP'!$A$9:$BN$9,1),FALSE),0)+IFERROR(VLOOKUP($B15,'RA7-Mine Infrastructure Area'!$A$11:$BN$18,MATCH(Summary!H$1,'RA7-Mine Infrastructure Area'!$A$9:$BN$9,1),FALSE),0)+IFERROR(VLOOKUP($B15,'RA8-Water Management Structures'!$A$11:$BN$18,MATCH(Summary!H$1,'RA8-Water Management Structures'!$A$9:$BN$9,1),FALSE),0)+IFERROR(VLOOKUP($B15,'RA9-Codisposal Upper'!$A$11:$BN$18,MATCH(Summary!H$1,'RA9-Codisposal Upper'!$A$9:$BN$9,1),FALSE),0)+IFERROR(VLOOKUP($B15,'RA10-Codisposal Slopes'!$A$11:$BN$18,MATCH(Summary!H$1,'RA10-Codisposal Slopes'!$A$9:$BN$9,1),FALSE),0)+IFERROR(VLOOKUP($B15,'IA1-Final Void inc Ramps'!$A$11:$BN$18,MATCH(Summary!H$1,'IA1-Final Void inc Ramps'!$A$9:$BN$9,1),FALSE),0)</f>
        <v>0</v>
      </c>
      <c r="I15" s="47">
        <f>IFERROR(VLOOKUP($B15,'RA1- Elevated Dumps Upper'!$A$11:$BN$18,MATCH(Summary!I$1,'RA1- Elevated Dumps Upper'!$A$9:$BN$9,1),FALSE),0)+IFERROR(VLOOKUP($B15,'RA2-Elevated Dumps Slopes'!$A$11:$BN$18,MATCH(Summary!I$1,'RA2-Elevated Dumps Slopes'!$A$9:$BN$9,1),FALSE),0)+IFERROR(VLOOKUP($B15,'RA3-Backfilled Pits'!$A$11:$BN$18,MATCH(Summary!I$1,'RA3-Backfilled Pits'!$A$9:$BN$9,1),FALSE),0)+IFERROR(VLOOKUP($B15,'RA4-Tracks_Roads'!$A$11:$BN$18,MATCH(Summary!I$1,'RA4-Tracks_Roads'!$A$9:$BN$9,1),FALSE),0)+IFERROR(VLOOKUP($B15,'RA5-ROM'!$A$11:$BN$18,MATCH(Summary!I$1,'RA5-ROM'!$A$9:$BN$9,1),FALSE),0)+IFERROR(VLOOKUP($B15,'RA6-CHPP'!$A$11:$BN$18,MATCH(Summary!I$1,'RA6-CHPP'!$A$9:$BN$9,1),FALSE),0)+IFERROR(VLOOKUP($B15,'RA7-Mine Infrastructure Area'!$A$11:$BN$18,MATCH(Summary!I$1,'RA7-Mine Infrastructure Area'!$A$9:$BN$9,1),FALSE),0)+IFERROR(VLOOKUP($B15,'RA8-Water Management Structures'!$A$11:$BN$18,MATCH(Summary!I$1,'RA8-Water Management Structures'!$A$9:$BN$9,1),FALSE),0)+IFERROR(VLOOKUP($B15,'RA9-Codisposal Upper'!$A$11:$BN$18,MATCH(Summary!I$1,'RA9-Codisposal Upper'!$A$9:$BN$9,1),FALSE),0)+IFERROR(VLOOKUP($B15,'RA10-Codisposal Slopes'!$A$11:$BN$18,MATCH(Summary!I$1,'RA10-Codisposal Slopes'!$A$9:$BN$9,1),FALSE),0)+IFERROR(VLOOKUP($B15,'IA1-Final Void inc Ramps'!$A$11:$BN$18,MATCH(Summary!I$1,'IA1-Final Void inc Ramps'!$A$9:$BN$9,1),FALSE),0)</f>
        <v>0</v>
      </c>
      <c r="J15" s="47">
        <f>IFERROR(VLOOKUP($B15,'RA1- Elevated Dumps Upper'!$A$11:$BN$18,MATCH(Summary!J$1,'RA1- Elevated Dumps Upper'!$A$9:$BN$9,1),FALSE),0)+IFERROR(VLOOKUP($B15,'RA2-Elevated Dumps Slopes'!$A$11:$BN$18,MATCH(Summary!J$1,'RA2-Elevated Dumps Slopes'!$A$9:$BN$9,1),FALSE),0)+IFERROR(VLOOKUP($B15,'RA3-Backfilled Pits'!$A$11:$BN$18,MATCH(Summary!J$1,'RA3-Backfilled Pits'!$A$9:$BN$9,1),FALSE),0)+IFERROR(VLOOKUP($B15,'RA4-Tracks_Roads'!$A$11:$BN$18,MATCH(Summary!J$1,'RA4-Tracks_Roads'!$A$9:$BN$9,1),FALSE),0)+IFERROR(VLOOKUP($B15,'RA5-ROM'!$A$11:$BN$18,MATCH(Summary!J$1,'RA5-ROM'!$A$9:$BN$9,1),FALSE),0)+IFERROR(VLOOKUP($B15,'RA6-CHPP'!$A$11:$BN$18,MATCH(Summary!J$1,'RA6-CHPP'!$A$9:$BN$9,1),FALSE),0)+IFERROR(VLOOKUP($B15,'RA7-Mine Infrastructure Area'!$A$11:$BN$18,MATCH(Summary!J$1,'RA7-Mine Infrastructure Area'!$A$9:$BN$9,1),FALSE),0)+IFERROR(VLOOKUP($B15,'RA8-Water Management Structures'!$A$11:$BN$18,MATCH(Summary!J$1,'RA8-Water Management Structures'!$A$9:$BN$9,1),FALSE),0)+IFERROR(VLOOKUP($B15,'RA9-Codisposal Upper'!$A$11:$BN$18,MATCH(Summary!J$1,'RA9-Codisposal Upper'!$A$9:$BN$9,1),FALSE),0)+IFERROR(VLOOKUP($B15,'RA10-Codisposal Slopes'!$A$11:$BN$18,MATCH(Summary!J$1,'RA10-Codisposal Slopes'!$A$9:$BN$9,1),FALSE),0)+IFERROR(VLOOKUP($B15,'IA1-Final Void inc Ramps'!$A$11:$BN$18,MATCH(Summary!J$1,'IA1-Final Void inc Ramps'!$A$9:$BN$9,1),FALSE),0)</f>
        <v>0</v>
      </c>
      <c r="K15" s="47">
        <f>IFERROR(VLOOKUP($B15,'RA1- Elevated Dumps Upper'!$A$11:$BN$18,MATCH(Summary!K$1,'RA1- Elevated Dumps Upper'!$A$9:$BN$9,1),FALSE),0)+IFERROR(VLOOKUP($B15,'RA2-Elevated Dumps Slopes'!$A$11:$BN$18,MATCH(Summary!K$1,'RA2-Elevated Dumps Slopes'!$A$9:$BN$9,1),FALSE),0)+IFERROR(VLOOKUP($B15,'RA3-Backfilled Pits'!$A$11:$BN$18,MATCH(Summary!K$1,'RA3-Backfilled Pits'!$A$9:$BN$9,1),FALSE),0)+IFERROR(VLOOKUP($B15,'RA4-Tracks_Roads'!$A$11:$BN$18,MATCH(Summary!K$1,'RA4-Tracks_Roads'!$A$9:$BN$9,1),FALSE),0)+IFERROR(VLOOKUP($B15,'RA5-ROM'!$A$11:$BN$18,MATCH(Summary!K$1,'RA5-ROM'!$A$9:$BN$9,1),FALSE),0)+IFERROR(VLOOKUP($B15,'RA6-CHPP'!$A$11:$BN$18,MATCH(Summary!K$1,'RA6-CHPP'!$A$9:$BN$9,1),FALSE),0)+IFERROR(VLOOKUP($B15,'RA7-Mine Infrastructure Area'!$A$11:$BN$18,MATCH(Summary!K$1,'RA7-Mine Infrastructure Area'!$A$9:$BN$9,1),FALSE),0)+IFERROR(VLOOKUP($B15,'RA8-Water Management Structures'!$A$11:$BN$18,MATCH(Summary!K$1,'RA8-Water Management Structures'!$A$9:$BN$9,1),FALSE),0)+IFERROR(VLOOKUP($B15,'RA9-Codisposal Upper'!$A$11:$BN$18,MATCH(Summary!K$1,'RA9-Codisposal Upper'!$A$9:$BN$9,1),FALSE),0)+IFERROR(VLOOKUP($B15,'RA10-Codisposal Slopes'!$A$11:$BN$18,MATCH(Summary!K$1,'RA10-Codisposal Slopes'!$A$9:$BN$9,1),FALSE),0)+IFERROR(VLOOKUP($B15,'IA1-Final Void inc Ramps'!$A$11:$BN$18,MATCH(Summary!K$1,'IA1-Final Void inc Ramps'!$A$9:$BN$9,1),FALSE),0)</f>
        <v>0</v>
      </c>
      <c r="L15" s="47">
        <f>IFERROR(VLOOKUP($B15,'RA1- Elevated Dumps Upper'!$A$11:$BN$18,MATCH(Summary!L$1,'RA1- Elevated Dumps Upper'!$A$9:$BN$9,1),FALSE),0)+IFERROR(VLOOKUP($B15,'RA2-Elevated Dumps Slopes'!$A$11:$BN$18,MATCH(Summary!L$1,'RA2-Elevated Dumps Slopes'!$A$9:$BN$9,1),FALSE),0)+IFERROR(VLOOKUP($B15,'RA3-Backfilled Pits'!$A$11:$BN$18,MATCH(Summary!L$1,'RA3-Backfilled Pits'!$A$9:$BN$9,1),FALSE),0)+IFERROR(VLOOKUP($B15,'RA4-Tracks_Roads'!$A$11:$BN$18,MATCH(Summary!L$1,'RA4-Tracks_Roads'!$A$9:$BN$9,1),FALSE),0)+IFERROR(VLOOKUP($B15,'RA5-ROM'!$A$11:$BN$18,MATCH(Summary!L$1,'RA5-ROM'!$A$9:$BN$9,1),FALSE),0)+IFERROR(VLOOKUP($B15,'RA6-CHPP'!$A$11:$BN$18,MATCH(Summary!L$1,'RA6-CHPP'!$A$9:$BN$9,1),FALSE),0)+IFERROR(VLOOKUP($B15,'RA7-Mine Infrastructure Area'!$A$11:$BN$18,MATCH(Summary!L$1,'RA7-Mine Infrastructure Area'!$A$9:$BN$9,1),FALSE),0)+IFERROR(VLOOKUP($B15,'RA8-Water Management Structures'!$A$11:$BN$18,MATCH(Summary!L$1,'RA8-Water Management Structures'!$A$9:$BN$9,1),FALSE),0)+IFERROR(VLOOKUP($B15,'RA9-Codisposal Upper'!$A$11:$BN$18,MATCH(Summary!L$1,'RA9-Codisposal Upper'!$A$9:$BN$9,1),FALSE),0)+IFERROR(VLOOKUP($B15,'RA10-Codisposal Slopes'!$A$11:$BN$18,MATCH(Summary!L$1,'RA10-Codisposal Slopes'!$A$9:$BN$9,1),FALSE),0)+IFERROR(VLOOKUP($B15,'IA1-Final Void inc Ramps'!$A$11:$BN$18,MATCH(Summary!L$1,'IA1-Final Void inc Ramps'!$A$9:$BN$9,1),FALSE),0)</f>
        <v>0</v>
      </c>
      <c r="M15" s="47">
        <f>IFERROR(VLOOKUP($B15,'RA1- Elevated Dumps Upper'!$A$11:$BN$18,MATCH(Summary!M$1,'RA1- Elevated Dumps Upper'!$A$9:$BN$9,1),FALSE),0)+IFERROR(VLOOKUP($B15,'RA2-Elevated Dumps Slopes'!$A$11:$BN$18,MATCH(Summary!M$1,'RA2-Elevated Dumps Slopes'!$A$9:$BN$9,1),FALSE),0)+IFERROR(VLOOKUP($B15,'RA3-Backfilled Pits'!$A$11:$BN$18,MATCH(Summary!M$1,'RA3-Backfilled Pits'!$A$9:$BN$9,1),FALSE),0)+IFERROR(VLOOKUP($B15,'RA4-Tracks_Roads'!$A$11:$BN$18,MATCH(Summary!M$1,'RA4-Tracks_Roads'!$A$9:$BN$9,1),FALSE),0)+IFERROR(VLOOKUP($B15,'RA5-ROM'!$A$11:$BN$18,MATCH(Summary!M$1,'RA5-ROM'!$A$9:$BN$9,1),FALSE),0)+IFERROR(VLOOKUP($B15,'RA6-CHPP'!$A$11:$BN$18,MATCH(Summary!M$1,'RA6-CHPP'!$A$9:$BN$9,1),FALSE),0)+IFERROR(VLOOKUP($B15,'RA7-Mine Infrastructure Area'!$A$11:$BN$18,MATCH(Summary!M$1,'RA7-Mine Infrastructure Area'!$A$9:$BN$9,1),FALSE),0)+IFERROR(VLOOKUP($B15,'RA8-Water Management Structures'!$A$11:$BN$18,MATCH(Summary!M$1,'RA8-Water Management Structures'!$A$9:$BN$9,1),FALSE),0)+IFERROR(VLOOKUP($B15,'RA9-Codisposal Upper'!$A$11:$BN$18,MATCH(Summary!M$1,'RA9-Codisposal Upper'!$A$9:$BN$9,1),FALSE),0)+IFERROR(VLOOKUP($B15,'RA10-Codisposal Slopes'!$A$11:$BN$18,MATCH(Summary!M$1,'RA10-Codisposal Slopes'!$A$9:$BN$9,1),FALSE),0)+IFERROR(VLOOKUP($B15,'IA1-Final Void inc Ramps'!$A$11:$BN$18,MATCH(Summary!M$1,'IA1-Final Void inc Ramps'!$A$9:$BN$9,1),FALSE),0)</f>
        <v>0</v>
      </c>
      <c r="N15" s="47">
        <f>IFERROR(VLOOKUP($B15,'RA1- Elevated Dumps Upper'!$A$11:$BN$18,MATCH(Summary!N$1,'RA1- Elevated Dumps Upper'!$A$9:$BN$9,1),FALSE),0)+IFERROR(VLOOKUP($B15,'RA2-Elevated Dumps Slopes'!$A$11:$BN$18,MATCH(Summary!N$1,'RA2-Elevated Dumps Slopes'!$A$9:$BN$9,1),FALSE),0)+IFERROR(VLOOKUP($B15,'RA3-Backfilled Pits'!$A$11:$BN$18,MATCH(Summary!N$1,'RA3-Backfilled Pits'!$A$9:$BN$9,1),FALSE),0)+IFERROR(VLOOKUP($B15,'RA4-Tracks_Roads'!$A$11:$BN$18,MATCH(Summary!N$1,'RA4-Tracks_Roads'!$A$9:$BN$9,1),FALSE),0)+IFERROR(VLOOKUP($B15,'RA5-ROM'!$A$11:$BN$18,MATCH(Summary!N$1,'RA5-ROM'!$A$9:$BN$9,1),FALSE),0)+IFERROR(VLOOKUP($B15,'RA6-CHPP'!$A$11:$BN$18,MATCH(Summary!N$1,'RA6-CHPP'!$A$9:$BN$9,1),FALSE),0)+IFERROR(VLOOKUP($B15,'RA7-Mine Infrastructure Area'!$A$11:$BN$18,MATCH(Summary!N$1,'RA7-Mine Infrastructure Area'!$A$9:$BN$9,1),FALSE),0)+IFERROR(VLOOKUP($B15,'RA8-Water Management Structures'!$A$11:$BN$18,MATCH(Summary!N$1,'RA8-Water Management Structures'!$A$9:$BN$9,1),FALSE),0)+IFERROR(VLOOKUP($B15,'RA9-Codisposal Upper'!$A$11:$BN$18,MATCH(Summary!N$1,'RA9-Codisposal Upper'!$A$9:$BN$9,1),FALSE),0)+IFERROR(VLOOKUP($B15,'RA10-Codisposal Slopes'!$A$11:$BN$18,MATCH(Summary!N$1,'RA10-Codisposal Slopes'!$A$9:$BN$9,1),FALSE),0)+IFERROR(VLOOKUP($B15,'IA1-Final Void inc Ramps'!$A$11:$BN$18,MATCH(Summary!N$1,'IA1-Final Void inc Ramps'!$A$9:$BN$9,1),FALSE),0)</f>
        <v>0</v>
      </c>
      <c r="O15" s="47">
        <f>IFERROR(VLOOKUP($B15,'RA1- Elevated Dumps Upper'!$A$11:$BN$18,MATCH(Summary!O$1,'RA1- Elevated Dumps Upper'!$A$9:$BN$9,1),FALSE),0)+IFERROR(VLOOKUP($B15,'RA2-Elevated Dumps Slopes'!$A$11:$BN$18,MATCH(Summary!O$1,'RA2-Elevated Dumps Slopes'!$A$9:$BN$9,1),FALSE),0)+IFERROR(VLOOKUP($B15,'RA3-Backfilled Pits'!$A$11:$BN$18,MATCH(Summary!O$1,'RA3-Backfilled Pits'!$A$9:$BN$9,1),FALSE),0)+IFERROR(VLOOKUP($B15,'RA4-Tracks_Roads'!$A$11:$BN$18,MATCH(Summary!O$1,'RA4-Tracks_Roads'!$A$9:$BN$9,1),FALSE),0)+IFERROR(VLOOKUP($B15,'RA5-ROM'!$A$11:$BN$18,MATCH(Summary!O$1,'RA5-ROM'!$A$9:$BN$9,1),FALSE),0)+IFERROR(VLOOKUP($B15,'RA6-CHPP'!$A$11:$BN$18,MATCH(Summary!O$1,'RA6-CHPP'!$A$9:$BN$9,1),FALSE),0)+IFERROR(VLOOKUP($B15,'RA7-Mine Infrastructure Area'!$A$11:$BN$18,MATCH(Summary!O$1,'RA7-Mine Infrastructure Area'!$A$9:$BN$9,1),FALSE),0)+IFERROR(VLOOKUP($B15,'RA8-Water Management Structures'!$A$11:$BN$18,MATCH(Summary!O$1,'RA8-Water Management Structures'!$A$9:$BN$9,1),FALSE),0)+IFERROR(VLOOKUP($B15,'RA9-Codisposal Upper'!$A$11:$BN$18,MATCH(Summary!O$1,'RA9-Codisposal Upper'!$A$9:$BN$9,1),FALSE),0)+IFERROR(VLOOKUP($B15,'RA10-Codisposal Slopes'!$A$11:$BN$18,MATCH(Summary!O$1,'RA10-Codisposal Slopes'!$A$9:$BN$9,1),FALSE),0)+IFERROR(VLOOKUP($B15,'IA1-Final Void inc Ramps'!$A$11:$BN$18,MATCH(Summary!O$1,'IA1-Final Void inc Ramps'!$A$9:$BN$9,1),FALSE),0)</f>
        <v>0</v>
      </c>
      <c r="P15" s="47">
        <f>IFERROR(VLOOKUP($B15,'RA1- Elevated Dumps Upper'!$A$11:$BN$18,MATCH(Summary!P$1,'RA1- Elevated Dumps Upper'!$A$9:$BN$9,1),FALSE),0)+IFERROR(VLOOKUP($B15,'RA2-Elevated Dumps Slopes'!$A$11:$BN$18,MATCH(Summary!P$1,'RA2-Elevated Dumps Slopes'!$A$9:$BN$9,1),FALSE),0)+IFERROR(VLOOKUP($B15,'RA3-Backfilled Pits'!$A$11:$BN$18,MATCH(Summary!P$1,'RA3-Backfilled Pits'!$A$9:$BN$9,1),FALSE),0)+IFERROR(VLOOKUP($B15,'RA4-Tracks_Roads'!$A$11:$BN$18,MATCH(Summary!P$1,'RA4-Tracks_Roads'!$A$9:$BN$9,1),FALSE),0)+IFERROR(VLOOKUP($B15,'RA5-ROM'!$A$11:$BN$18,MATCH(Summary!P$1,'RA5-ROM'!$A$9:$BN$9,1),FALSE),0)+IFERROR(VLOOKUP($B15,'RA6-CHPP'!$A$11:$BN$18,MATCH(Summary!P$1,'RA6-CHPP'!$A$9:$BN$9,1),FALSE),0)+IFERROR(VLOOKUP($B15,'RA7-Mine Infrastructure Area'!$A$11:$BN$18,MATCH(Summary!P$1,'RA7-Mine Infrastructure Area'!$A$9:$BN$9,1),FALSE),0)+IFERROR(VLOOKUP($B15,'RA8-Water Management Structures'!$A$11:$BN$18,MATCH(Summary!P$1,'RA8-Water Management Structures'!$A$9:$BN$9,1),FALSE),0)+IFERROR(VLOOKUP($B15,'RA9-Codisposal Upper'!$A$11:$BN$18,MATCH(Summary!P$1,'RA9-Codisposal Upper'!$A$9:$BN$9,1),FALSE),0)+IFERROR(VLOOKUP($B15,'RA10-Codisposal Slopes'!$A$11:$BN$18,MATCH(Summary!P$1,'RA10-Codisposal Slopes'!$A$9:$BN$9,1),FALSE),0)+IFERROR(VLOOKUP($B15,'IA1-Final Void inc Ramps'!$A$11:$BN$18,MATCH(Summary!P$1,'IA1-Final Void inc Ramps'!$A$9:$BN$9,1),FALSE),0)</f>
        <v>0</v>
      </c>
      <c r="Q15" s="47">
        <f>IFERROR(VLOOKUP($B15,'RA1- Elevated Dumps Upper'!$A$11:$BN$18,MATCH(Summary!Q$1,'RA1- Elevated Dumps Upper'!$A$9:$BN$9,1),FALSE),0)+IFERROR(VLOOKUP($B15,'RA2-Elevated Dumps Slopes'!$A$11:$BN$18,MATCH(Summary!Q$1,'RA2-Elevated Dumps Slopes'!$A$9:$BN$9,1),FALSE),0)+IFERROR(VLOOKUP($B15,'RA3-Backfilled Pits'!$A$11:$BN$18,MATCH(Summary!Q$1,'RA3-Backfilled Pits'!$A$9:$BN$9,1),FALSE),0)+IFERROR(VLOOKUP($B15,'RA4-Tracks_Roads'!$A$11:$BN$18,MATCH(Summary!Q$1,'RA4-Tracks_Roads'!$A$9:$BN$9,1),FALSE),0)+IFERROR(VLOOKUP($B15,'RA5-ROM'!$A$11:$BN$18,MATCH(Summary!Q$1,'RA5-ROM'!$A$9:$BN$9,1),FALSE),0)+IFERROR(VLOOKUP($B15,'RA6-CHPP'!$A$11:$BN$18,MATCH(Summary!Q$1,'RA6-CHPP'!$A$9:$BN$9,1),FALSE),0)+IFERROR(VLOOKUP($B15,'RA7-Mine Infrastructure Area'!$A$11:$BN$18,MATCH(Summary!Q$1,'RA7-Mine Infrastructure Area'!$A$9:$BN$9,1),FALSE),0)+IFERROR(VLOOKUP($B15,'RA8-Water Management Structures'!$A$11:$BN$18,MATCH(Summary!Q$1,'RA8-Water Management Structures'!$A$9:$BN$9,1),FALSE),0)+IFERROR(VLOOKUP($B15,'RA9-Codisposal Upper'!$A$11:$BN$18,MATCH(Summary!Q$1,'RA9-Codisposal Upper'!$A$9:$BN$9,1),FALSE),0)+IFERROR(VLOOKUP($B15,'RA10-Codisposal Slopes'!$A$11:$BN$18,MATCH(Summary!Q$1,'RA10-Codisposal Slopes'!$A$9:$BN$9,1),FALSE),0)+IFERROR(VLOOKUP($B15,'IA1-Final Void inc Ramps'!$A$11:$BN$18,MATCH(Summary!Q$1,'IA1-Final Void inc Ramps'!$A$9:$BN$9,1),FALSE),0)</f>
        <v>0</v>
      </c>
      <c r="R15" s="47">
        <f>IFERROR(VLOOKUP($B15,'RA1- Elevated Dumps Upper'!$A$11:$BN$18,MATCH(Summary!R$1,'RA1- Elevated Dumps Upper'!$A$9:$BN$9,1),FALSE),0)+IFERROR(VLOOKUP($B15,'RA2-Elevated Dumps Slopes'!$A$11:$BN$18,MATCH(Summary!R$1,'RA2-Elevated Dumps Slopes'!$A$9:$BN$9,1),FALSE),0)+IFERROR(VLOOKUP($B15,'RA3-Backfilled Pits'!$A$11:$BN$18,MATCH(Summary!R$1,'RA3-Backfilled Pits'!$A$9:$BN$9,1),FALSE),0)+IFERROR(VLOOKUP($B15,'RA4-Tracks_Roads'!$A$11:$BN$18,MATCH(Summary!R$1,'RA4-Tracks_Roads'!$A$9:$BN$9,1),FALSE),0)+IFERROR(VLOOKUP($B15,'RA5-ROM'!$A$11:$BN$18,MATCH(Summary!R$1,'RA5-ROM'!$A$9:$BN$9,1),FALSE),0)+IFERROR(VLOOKUP($B15,'RA6-CHPP'!$A$11:$BN$18,MATCH(Summary!R$1,'RA6-CHPP'!$A$9:$BN$9,1),FALSE),0)+IFERROR(VLOOKUP($B15,'RA7-Mine Infrastructure Area'!$A$11:$BN$18,MATCH(Summary!R$1,'RA7-Mine Infrastructure Area'!$A$9:$BN$9,1),FALSE),0)+IFERROR(VLOOKUP($B15,'RA8-Water Management Structures'!$A$11:$BN$18,MATCH(Summary!R$1,'RA8-Water Management Structures'!$A$9:$BN$9,1),FALSE),0)+IFERROR(VLOOKUP($B15,'RA9-Codisposal Upper'!$A$11:$BN$18,MATCH(Summary!R$1,'RA9-Codisposal Upper'!$A$9:$BN$9,1),FALSE),0)+IFERROR(VLOOKUP($B15,'RA10-Codisposal Slopes'!$A$11:$BN$18,MATCH(Summary!R$1,'RA10-Codisposal Slopes'!$A$9:$BN$9,1),FALSE),0)+IFERROR(VLOOKUP($B15,'IA1-Final Void inc Ramps'!$A$11:$BN$18,MATCH(Summary!R$1,'IA1-Final Void inc Ramps'!$A$9:$BN$9,1),FALSE),0)</f>
        <v>0</v>
      </c>
      <c r="S15" s="47">
        <f>IFERROR(VLOOKUP($B15,'RA1- Elevated Dumps Upper'!$A$11:$BN$18,MATCH(Summary!S$1,'RA1- Elevated Dumps Upper'!$A$9:$BN$9,1),FALSE),0)+IFERROR(VLOOKUP($B15,'RA2-Elevated Dumps Slopes'!$A$11:$BN$18,MATCH(Summary!S$1,'RA2-Elevated Dumps Slopes'!$A$9:$BN$9,1),FALSE),0)+IFERROR(VLOOKUP($B15,'RA3-Backfilled Pits'!$A$11:$BN$18,MATCH(Summary!S$1,'RA3-Backfilled Pits'!$A$9:$BN$9,1),FALSE),0)+IFERROR(VLOOKUP($B15,'RA4-Tracks_Roads'!$A$11:$BN$18,MATCH(Summary!S$1,'RA4-Tracks_Roads'!$A$9:$BN$9,1),FALSE),0)+IFERROR(VLOOKUP($B15,'RA5-ROM'!$A$11:$BN$18,MATCH(Summary!S$1,'RA5-ROM'!$A$9:$BN$9,1),FALSE),0)+IFERROR(VLOOKUP($B15,'RA6-CHPP'!$A$11:$BN$18,MATCH(Summary!S$1,'RA6-CHPP'!$A$9:$BN$9,1),FALSE),0)+IFERROR(VLOOKUP($B15,'RA7-Mine Infrastructure Area'!$A$11:$BN$18,MATCH(Summary!S$1,'RA7-Mine Infrastructure Area'!$A$9:$BN$9,1),FALSE),0)+IFERROR(VLOOKUP($B15,'RA8-Water Management Structures'!$A$11:$BN$18,MATCH(Summary!S$1,'RA8-Water Management Structures'!$A$9:$BN$9,1),FALSE),0)+IFERROR(VLOOKUP($B15,'RA9-Codisposal Upper'!$A$11:$BN$18,MATCH(Summary!S$1,'RA9-Codisposal Upper'!$A$9:$BN$9,1),FALSE),0)+IFERROR(VLOOKUP($B15,'RA10-Codisposal Slopes'!$A$11:$BN$18,MATCH(Summary!S$1,'RA10-Codisposal Slopes'!$A$9:$BN$9,1),FALSE),0)+IFERROR(VLOOKUP($B15,'IA1-Final Void inc Ramps'!$A$11:$BN$18,MATCH(Summary!S$1,'IA1-Final Void inc Ramps'!$A$9:$BN$9,1),FALSE),0)</f>
        <v>0</v>
      </c>
      <c r="T15" s="47">
        <f>IFERROR(VLOOKUP($B15,'RA1- Elevated Dumps Upper'!$A$11:$BN$18,MATCH(Summary!T$1,'RA1- Elevated Dumps Upper'!$A$9:$BN$9,1),FALSE),0)+IFERROR(VLOOKUP($B15,'RA2-Elevated Dumps Slopes'!$A$11:$BN$18,MATCH(Summary!T$1,'RA2-Elevated Dumps Slopes'!$A$9:$BN$9,1),FALSE),0)+IFERROR(VLOOKUP($B15,'RA3-Backfilled Pits'!$A$11:$BN$18,MATCH(Summary!T$1,'RA3-Backfilled Pits'!$A$9:$BN$9,1),FALSE),0)+IFERROR(VLOOKUP($B15,'RA4-Tracks_Roads'!$A$11:$BN$18,MATCH(Summary!T$1,'RA4-Tracks_Roads'!$A$9:$BN$9,1),FALSE),0)+IFERROR(VLOOKUP($B15,'RA5-ROM'!$A$11:$BN$18,MATCH(Summary!T$1,'RA5-ROM'!$A$9:$BN$9,1),FALSE),0)+IFERROR(VLOOKUP($B15,'RA6-CHPP'!$A$11:$BN$18,MATCH(Summary!T$1,'RA6-CHPP'!$A$9:$BN$9,1),FALSE),0)+IFERROR(VLOOKUP($B15,'RA7-Mine Infrastructure Area'!$A$11:$BN$18,MATCH(Summary!T$1,'RA7-Mine Infrastructure Area'!$A$9:$BN$9,1),FALSE),0)+IFERROR(VLOOKUP($B15,'RA8-Water Management Structures'!$A$11:$BN$18,MATCH(Summary!T$1,'RA8-Water Management Structures'!$A$9:$BN$9,1),FALSE),0)+IFERROR(VLOOKUP($B15,'RA9-Codisposal Upper'!$A$11:$BN$18,MATCH(Summary!T$1,'RA9-Codisposal Upper'!$A$9:$BN$9,1),FALSE),0)+IFERROR(VLOOKUP($B15,'RA10-Codisposal Slopes'!$A$11:$BN$18,MATCH(Summary!T$1,'RA10-Codisposal Slopes'!$A$9:$BN$9,1),FALSE),0)+IFERROR(VLOOKUP($B15,'IA1-Final Void inc Ramps'!$A$11:$BN$18,MATCH(Summary!T$1,'IA1-Final Void inc Ramps'!$A$9:$BN$9,1),FALSE),0)</f>
        <v>0</v>
      </c>
      <c r="U15" s="47">
        <f>IFERROR(VLOOKUP($B15,'RA1- Elevated Dumps Upper'!$A$11:$BN$18,MATCH(Summary!U$1,'RA1- Elevated Dumps Upper'!$A$9:$BN$9,1),FALSE),0)+IFERROR(VLOOKUP($B15,'RA2-Elevated Dumps Slopes'!$A$11:$BN$18,MATCH(Summary!U$1,'RA2-Elevated Dumps Slopes'!$A$9:$BN$9,1),FALSE),0)+IFERROR(VLOOKUP($B15,'RA3-Backfilled Pits'!$A$11:$BN$18,MATCH(Summary!U$1,'RA3-Backfilled Pits'!$A$9:$BN$9,1),FALSE),0)+IFERROR(VLOOKUP($B15,'RA4-Tracks_Roads'!$A$11:$BN$18,MATCH(Summary!U$1,'RA4-Tracks_Roads'!$A$9:$BN$9,1),FALSE),0)+IFERROR(VLOOKUP($B15,'RA5-ROM'!$A$11:$BN$18,MATCH(Summary!U$1,'RA5-ROM'!$A$9:$BN$9,1),FALSE),0)+IFERROR(VLOOKUP($B15,'RA6-CHPP'!$A$11:$BN$18,MATCH(Summary!U$1,'RA6-CHPP'!$A$9:$BN$9,1),FALSE),0)+IFERROR(VLOOKUP($B15,'RA7-Mine Infrastructure Area'!$A$11:$BN$18,MATCH(Summary!U$1,'RA7-Mine Infrastructure Area'!$A$9:$BN$9,1),FALSE),0)+IFERROR(VLOOKUP($B15,'RA8-Water Management Structures'!$A$11:$BN$18,MATCH(Summary!U$1,'RA8-Water Management Structures'!$A$9:$BN$9,1),FALSE),0)+IFERROR(VLOOKUP($B15,'RA9-Codisposal Upper'!$A$11:$BN$18,MATCH(Summary!U$1,'RA9-Codisposal Upper'!$A$9:$BN$9,1),FALSE),0)+IFERROR(VLOOKUP($B15,'RA10-Codisposal Slopes'!$A$11:$BN$18,MATCH(Summary!U$1,'RA10-Codisposal Slopes'!$A$9:$BN$9,1),FALSE),0)+IFERROR(VLOOKUP($B15,'IA1-Final Void inc Ramps'!$A$11:$BN$18,MATCH(Summary!U$1,'IA1-Final Void inc Ramps'!$A$9:$BN$9,1),FALSE),0)</f>
        <v>0</v>
      </c>
      <c r="V15" s="47">
        <f>IFERROR(VLOOKUP($B15,'RA1- Elevated Dumps Upper'!$A$11:$BN$18,MATCH(Summary!V$1,'RA1- Elevated Dumps Upper'!$A$9:$BN$9,1),FALSE),0)+IFERROR(VLOOKUP($B15,'RA2-Elevated Dumps Slopes'!$A$11:$BN$18,MATCH(Summary!V$1,'RA2-Elevated Dumps Slopes'!$A$9:$BN$9,1),FALSE),0)+IFERROR(VLOOKUP($B15,'RA3-Backfilled Pits'!$A$11:$BN$18,MATCH(Summary!V$1,'RA3-Backfilled Pits'!$A$9:$BN$9,1),FALSE),0)+IFERROR(VLOOKUP($B15,'RA4-Tracks_Roads'!$A$11:$BN$18,MATCH(Summary!V$1,'RA4-Tracks_Roads'!$A$9:$BN$9,1),FALSE),0)+IFERROR(VLOOKUP($B15,'RA5-ROM'!$A$11:$BN$18,MATCH(Summary!V$1,'RA5-ROM'!$A$9:$BN$9,1),FALSE),0)+IFERROR(VLOOKUP($B15,'RA6-CHPP'!$A$11:$BN$18,MATCH(Summary!V$1,'RA6-CHPP'!$A$9:$BN$9,1),FALSE),0)+IFERROR(VLOOKUP($B15,'RA7-Mine Infrastructure Area'!$A$11:$BN$18,MATCH(Summary!V$1,'RA7-Mine Infrastructure Area'!$A$9:$BN$9,1),FALSE),0)+IFERROR(VLOOKUP($B15,'RA8-Water Management Structures'!$A$11:$BN$18,MATCH(Summary!V$1,'RA8-Water Management Structures'!$A$9:$BN$9,1),FALSE),0)+IFERROR(VLOOKUP($B15,'RA9-Codisposal Upper'!$A$11:$BN$18,MATCH(Summary!V$1,'RA9-Codisposal Upper'!$A$9:$BN$9,1),FALSE),0)+IFERROR(VLOOKUP($B15,'RA10-Codisposal Slopes'!$A$11:$BN$18,MATCH(Summary!V$1,'RA10-Codisposal Slopes'!$A$9:$BN$9,1),FALSE),0)+IFERROR(VLOOKUP($B15,'IA1-Final Void inc Ramps'!$A$11:$BN$18,MATCH(Summary!V$1,'IA1-Final Void inc Ramps'!$A$9:$BN$9,1),FALSE),0)</f>
        <v>0</v>
      </c>
      <c r="W15" s="47">
        <f>IFERROR(VLOOKUP($B15,'RA1- Elevated Dumps Upper'!$A$11:$BN$18,MATCH(Summary!W$1,'RA1- Elevated Dumps Upper'!$A$9:$BN$9,1),FALSE),0)+IFERROR(VLOOKUP($B15,'RA2-Elevated Dumps Slopes'!$A$11:$BN$18,MATCH(Summary!W$1,'RA2-Elevated Dumps Slopes'!$A$9:$BN$9,1),FALSE),0)+IFERROR(VLOOKUP($B15,'RA3-Backfilled Pits'!$A$11:$BN$18,MATCH(Summary!W$1,'RA3-Backfilled Pits'!$A$9:$BN$9,1),FALSE),0)+IFERROR(VLOOKUP($B15,'RA4-Tracks_Roads'!$A$11:$BN$18,MATCH(Summary!W$1,'RA4-Tracks_Roads'!$A$9:$BN$9,1),FALSE),0)+IFERROR(VLOOKUP($B15,'RA5-ROM'!$A$11:$BN$18,MATCH(Summary!W$1,'RA5-ROM'!$A$9:$BN$9,1),FALSE),0)+IFERROR(VLOOKUP($B15,'RA6-CHPP'!$A$11:$BN$18,MATCH(Summary!W$1,'RA6-CHPP'!$A$9:$BN$9,1),FALSE),0)+IFERROR(VLOOKUP($B15,'RA7-Mine Infrastructure Area'!$A$11:$BN$18,MATCH(Summary!W$1,'RA7-Mine Infrastructure Area'!$A$9:$BN$9,1),FALSE),0)+IFERROR(VLOOKUP($B15,'RA8-Water Management Structures'!$A$11:$BN$18,MATCH(Summary!W$1,'RA8-Water Management Structures'!$A$9:$BN$9,1),FALSE),0)+IFERROR(VLOOKUP($B15,'RA9-Codisposal Upper'!$A$11:$BN$18,MATCH(Summary!W$1,'RA9-Codisposal Upper'!$A$9:$BN$9,1),FALSE),0)+IFERROR(VLOOKUP($B15,'RA10-Codisposal Slopes'!$A$11:$BN$18,MATCH(Summary!W$1,'RA10-Codisposal Slopes'!$A$9:$BN$9,1),FALSE),0)+IFERROR(VLOOKUP($B15,'IA1-Final Void inc Ramps'!$A$11:$BN$18,MATCH(Summary!W$1,'IA1-Final Void inc Ramps'!$A$9:$BN$9,1),FALSE),0)</f>
        <v>0</v>
      </c>
      <c r="X15" s="47">
        <f>IFERROR(VLOOKUP($B15,'RA1- Elevated Dumps Upper'!$A$11:$BN$18,MATCH(Summary!X$1,'RA1- Elevated Dumps Upper'!$A$9:$BN$9,1),FALSE),0)+IFERROR(VLOOKUP($B15,'RA2-Elevated Dumps Slopes'!$A$11:$BN$18,MATCH(Summary!X$1,'RA2-Elevated Dumps Slopes'!$A$9:$BN$9,1),FALSE),0)+IFERROR(VLOOKUP($B15,'RA3-Backfilled Pits'!$A$11:$BN$18,MATCH(Summary!X$1,'RA3-Backfilled Pits'!$A$9:$BN$9,1),FALSE),0)+IFERROR(VLOOKUP($B15,'RA4-Tracks_Roads'!$A$11:$BN$18,MATCH(Summary!X$1,'RA4-Tracks_Roads'!$A$9:$BN$9,1),FALSE),0)+IFERROR(VLOOKUP($B15,'RA5-ROM'!$A$11:$BN$18,MATCH(Summary!X$1,'RA5-ROM'!$A$9:$BN$9,1),FALSE),0)+IFERROR(VLOOKUP($B15,'RA6-CHPP'!$A$11:$BN$18,MATCH(Summary!X$1,'RA6-CHPP'!$A$9:$BN$9,1),FALSE),0)+IFERROR(VLOOKUP($B15,'RA7-Mine Infrastructure Area'!$A$11:$BN$18,MATCH(Summary!X$1,'RA7-Mine Infrastructure Area'!$A$9:$BN$9,1),FALSE),0)+IFERROR(VLOOKUP($B15,'RA8-Water Management Structures'!$A$11:$BN$18,MATCH(Summary!X$1,'RA8-Water Management Structures'!$A$9:$BN$9,1),FALSE),0)+IFERROR(VLOOKUP($B15,'RA9-Codisposal Upper'!$A$11:$BN$18,MATCH(Summary!X$1,'RA9-Codisposal Upper'!$A$9:$BN$9,1),FALSE),0)+IFERROR(VLOOKUP($B15,'RA10-Codisposal Slopes'!$A$11:$BN$18,MATCH(Summary!X$1,'RA10-Codisposal Slopes'!$A$9:$BN$9,1),FALSE),0)+IFERROR(VLOOKUP($B15,'IA1-Final Void inc Ramps'!$A$11:$BN$18,MATCH(Summary!X$1,'IA1-Final Void inc Ramps'!$A$9:$BN$9,1),FALSE),0)</f>
        <v>0</v>
      </c>
      <c r="Y15" s="47">
        <f>IFERROR(VLOOKUP($B15,'RA1- Elevated Dumps Upper'!$A$11:$BN$18,MATCH(Summary!Y$1,'RA1- Elevated Dumps Upper'!$A$9:$BN$9,1),FALSE),0)+IFERROR(VLOOKUP($B15,'RA2-Elevated Dumps Slopes'!$A$11:$BN$18,MATCH(Summary!Y$1,'RA2-Elevated Dumps Slopes'!$A$9:$BN$9,1),FALSE),0)+IFERROR(VLOOKUP($B15,'RA3-Backfilled Pits'!$A$11:$BN$18,MATCH(Summary!Y$1,'RA3-Backfilled Pits'!$A$9:$BN$9,1),FALSE),0)+IFERROR(VLOOKUP($B15,'RA4-Tracks_Roads'!$A$11:$BN$18,MATCH(Summary!Y$1,'RA4-Tracks_Roads'!$A$9:$BN$9,1),FALSE),0)+IFERROR(VLOOKUP($B15,'RA5-ROM'!$A$11:$BN$18,MATCH(Summary!Y$1,'RA5-ROM'!$A$9:$BN$9,1),FALSE),0)+IFERROR(VLOOKUP($B15,'RA6-CHPP'!$A$11:$BN$18,MATCH(Summary!Y$1,'RA6-CHPP'!$A$9:$BN$9,1),FALSE),0)+IFERROR(VLOOKUP($B15,'RA7-Mine Infrastructure Area'!$A$11:$BN$18,MATCH(Summary!Y$1,'RA7-Mine Infrastructure Area'!$A$9:$BN$9,1),FALSE),0)+IFERROR(VLOOKUP($B15,'RA8-Water Management Structures'!$A$11:$BN$18,MATCH(Summary!Y$1,'RA8-Water Management Structures'!$A$9:$BN$9,1),FALSE),0)+IFERROR(VLOOKUP($B15,'RA9-Codisposal Upper'!$A$11:$BN$18,MATCH(Summary!Y$1,'RA9-Codisposal Upper'!$A$9:$BN$9,1),FALSE),0)+IFERROR(VLOOKUP($B15,'RA10-Codisposal Slopes'!$A$11:$BN$18,MATCH(Summary!Y$1,'RA10-Codisposal Slopes'!$A$9:$BN$9,1),FALSE),0)+IFERROR(VLOOKUP($B15,'IA1-Final Void inc Ramps'!$A$11:$BN$18,MATCH(Summary!Y$1,'IA1-Final Void inc Ramps'!$A$9:$BN$9,1),FALSE),0)</f>
        <v>0</v>
      </c>
      <c r="Z15" s="47">
        <f>IFERROR(VLOOKUP($B15,'RA1- Elevated Dumps Upper'!$A$11:$BN$18,MATCH(Summary!Z$1,'RA1- Elevated Dumps Upper'!$A$9:$BN$9,1),FALSE),0)+IFERROR(VLOOKUP($B15,'RA2-Elevated Dumps Slopes'!$A$11:$BN$18,MATCH(Summary!Z$1,'RA2-Elevated Dumps Slopes'!$A$9:$BN$9,1),FALSE),0)+IFERROR(VLOOKUP($B15,'RA3-Backfilled Pits'!$A$11:$BN$18,MATCH(Summary!Z$1,'RA3-Backfilled Pits'!$A$9:$BN$9,1),FALSE),0)+IFERROR(VLOOKUP($B15,'RA4-Tracks_Roads'!$A$11:$BN$18,MATCH(Summary!Z$1,'RA4-Tracks_Roads'!$A$9:$BN$9,1),FALSE),0)+IFERROR(VLOOKUP($B15,'RA5-ROM'!$A$11:$BN$18,MATCH(Summary!Z$1,'RA5-ROM'!$A$9:$BN$9,1),FALSE),0)+IFERROR(VLOOKUP($B15,'RA6-CHPP'!$A$11:$BN$18,MATCH(Summary!Z$1,'RA6-CHPP'!$A$9:$BN$9,1),FALSE),0)+IFERROR(VLOOKUP($B15,'RA7-Mine Infrastructure Area'!$A$11:$BN$18,MATCH(Summary!Z$1,'RA7-Mine Infrastructure Area'!$A$9:$BN$9,1),FALSE),0)+IFERROR(VLOOKUP($B15,'RA8-Water Management Structures'!$A$11:$BN$18,MATCH(Summary!Z$1,'RA8-Water Management Structures'!$A$9:$BN$9,1),FALSE),0)+IFERROR(VLOOKUP($B15,'RA9-Codisposal Upper'!$A$11:$BN$18,MATCH(Summary!Z$1,'RA9-Codisposal Upper'!$A$9:$BN$9,1),FALSE),0)+IFERROR(VLOOKUP($B15,'RA10-Codisposal Slopes'!$A$11:$BN$18,MATCH(Summary!Z$1,'RA10-Codisposal Slopes'!$A$9:$BN$9,1),FALSE),0)+IFERROR(VLOOKUP($B15,'IA1-Final Void inc Ramps'!$A$11:$BN$18,MATCH(Summary!Z$1,'IA1-Final Void inc Ramps'!$A$9:$BN$9,1),FALSE),0)</f>
        <v>0</v>
      </c>
      <c r="AA15" s="47">
        <f>IFERROR(VLOOKUP($B15,'RA1- Elevated Dumps Upper'!$A$11:$BN$18,MATCH(Summary!AA$1,'RA1- Elevated Dumps Upper'!$A$9:$BN$9,1),FALSE),0)+IFERROR(VLOOKUP($B15,'RA2-Elevated Dumps Slopes'!$A$11:$BN$18,MATCH(Summary!AA$1,'RA2-Elevated Dumps Slopes'!$A$9:$BN$9,1),FALSE),0)+IFERROR(VLOOKUP($B15,'RA3-Backfilled Pits'!$A$11:$BN$18,MATCH(Summary!AA$1,'RA3-Backfilled Pits'!$A$9:$BN$9,1),FALSE),0)+IFERROR(VLOOKUP($B15,'RA4-Tracks_Roads'!$A$11:$BN$18,MATCH(Summary!AA$1,'RA4-Tracks_Roads'!$A$9:$BN$9,1),FALSE),0)+IFERROR(VLOOKUP($B15,'RA5-ROM'!$A$11:$BN$18,MATCH(Summary!AA$1,'RA5-ROM'!$A$9:$BN$9,1),FALSE),0)+IFERROR(VLOOKUP($B15,'RA6-CHPP'!$A$11:$BN$18,MATCH(Summary!AA$1,'RA6-CHPP'!$A$9:$BN$9,1),FALSE),0)+IFERROR(VLOOKUP($B15,'RA7-Mine Infrastructure Area'!$A$11:$BN$18,MATCH(Summary!AA$1,'RA7-Mine Infrastructure Area'!$A$9:$BN$9,1),FALSE),0)+IFERROR(VLOOKUP($B15,'RA8-Water Management Structures'!$A$11:$BN$18,MATCH(Summary!AA$1,'RA8-Water Management Structures'!$A$9:$BN$9,1),FALSE),0)+IFERROR(VLOOKUP($B15,'RA9-Codisposal Upper'!$A$11:$BN$18,MATCH(Summary!AA$1,'RA9-Codisposal Upper'!$A$9:$BN$9,1),FALSE),0)+IFERROR(VLOOKUP($B15,'RA10-Codisposal Slopes'!$A$11:$BN$18,MATCH(Summary!AA$1,'RA10-Codisposal Slopes'!$A$9:$BN$9,1),FALSE),0)+IFERROR(VLOOKUP($B15,'IA1-Final Void inc Ramps'!$A$11:$BN$18,MATCH(Summary!AA$1,'IA1-Final Void inc Ramps'!$A$9:$BN$9,1),FALSE),0)</f>
        <v>0</v>
      </c>
      <c r="AB15" s="47">
        <f>IFERROR(VLOOKUP($B15,'RA1- Elevated Dumps Upper'!$A$11:$BN$18,MATCH(Summary!AB$1,'RA1- Elevated Dumps Upper'!$A$9:$BN$9,1),FALSE),0)+IFERROR(VLOOKUP($B15,'RA2-Elevated Dumps Slopes'!$A$11:$BN$18,MATCH(Summary!AB$1,'RA2-Elevated Dumps Slopes'!$A$9:$BN$9,1),FALSE),0)+IFERROR(VLOOKUP($B15,'RA3-Backfilled Pits'!$A$11:$BN$18,MATCH(Summary!AB$1,'RA3-Backfilled Pits'!$A$9:$BN$9,1),FALSE),0)+IFERROR(VLOOKUP($B15,'RA4-Tracks_Roads'!$A$11:$BN$18,MATCH(Summary!AB$1,'RA4-Tracks_Roads'!$A$9:$BN$9,1),FALSE),0)+IFERROR(VLOOKUP($B15,'RA5-ROM'!$A$11:$BN$18,MATCH(Summary!AB$1,'RA5-ROM'!$A$9:$BN$9,1),FALSE),0)+IFERROR(VLOOKUP($B15,'RA6-CHPP'!$A$11:$BN$18,MATCH(Summary!AB$1,'RA6-CHPP'!$A$9:$BN$9,1),FALSE),0)+IFERROR(VLOOKUP($B15,'RA7-Mine Infrastructure Area'!$A$11:$BN$18,MATCH(Summary!AB$1,'RA7-Mine Infrastructure Area'!$A$9:$BN$9,1),FALSE),0)+IFERROR(VLOOKUP($B15,'RA8-Water Management Structures'!$A$11:$BN$18,MATCH(Summary!AB$1,'RA8-Water Management Structures'!$A$9:$BN$9,1),FALSE),0)+IFERROR(VLOOKUP($B15,'RA9-Codisposal Upper'!$A$11:$BN$18,MATCH(Summary!AB$1,'RA9-Codisposal Upper'!$A$9:$BN$9,1),FALSE),0)+IFERROR(VLOOKUP($B15,'RA10-Codisposal Slopes'!$A$11:$BN$18,MATCH(Summary!AB$1,'RA10-Codisposal Slopes'!$A$9:$BN$9,1),FALSE),0)+IFERROR(VLOOKUP($B15,'IA1-Final Void inc Ramps'!$A$11:$BN$18,MATCH(Summary!AB$1,'IA1-Final Void inc Ramps'!$A$9:$BN$9,1),FALSE),0)</f>
        <v>0</v>
      </c>
      <c r="AC15" s="47">
        <f>IFERROR(VLOOKUP($B15,'RA1- Elevated Dumps Upper'!$A$11:$BN$18,MATCH(Summary!AC$1,'RA1- Elevated Dumps Upper'!$A$9:$BN$9,1),FALSE),0)+IFERROR(VLOOKUP($B15,'RA2-Elevated Dumps Slopes'!$A$11:$BN$18,MATCH(Summary!AC$1,'RA2-Elevated Dumps Slopes'!$A$9:$BN$9,1),FALSE),0)+IFERROR(VLOOKUP($B15,'RA3-Backfilled Pits'!$A$11:$BN$18,MATCH(Summary!AC$1,'RA3-Backfilled Pits'!$A$9:$BN$9,1),FALSE),0)+IFERROR(VLOOKUP($B15,'RA4-Tracks_Roads'!$A$11:$BN$18,MATCH(Summary!AC$1,'RA4-Tracks_Roads'!$A$9:$BN$9,1),FALSE),0)+IFERROR(VLOOKUP($B15,'RA5-ROM'!$A$11:$BN$18,MATCH(Summary!AC$1,'RA5-ROM'!$A$9:$BN$9,1),FALSE),0)+IFERROR(VLOOKUP($B15,'RA6-CHPP'!$A$11:$BN$18,MATCH(Summary!AC$1,'RA6-CHPP'!$A$9:$BN$9,1),FALSE),0)+IFERROR(VLOOKUP($B15,'RA7-Mine Infrastructure Area'!$A$11:$BN$18,MATCH(Summary!AC$1,'RA7-Mine Infrastructure Area'!$A$9:$BN$9,1),FALSE),0)+IFERROR(VLOOKUP($B15,'RA8-Water Management Structures'!$A$11:$BN$18,MATCH(Summary!AC$1,'RA8-Water Management Structures'!$A$9:$BN$9,1),FALSE),0)+IFERROR(VLOOKUP($B15,'RA9-Codisposal Upper'!$A$11:$BN$18,MATCH(Summary!AC$1,'RA9-Codisposal Upper'!$A$9:$BN$9,1),FALSE),0)+IFERROR(VLOOKUP($B15,'RA10-Codisposal Slopes'!$A$11:$BN$18,MATCH(Summary!AC$1,'RA10-Codisposal Slopes'!$A$9:$BN$9,1),FALSE),0)+IFERROR(VLOOKUP($B15,'IA1-Final Void inc Ramps'!$A$11:$BN$18,MATCH(Summary!AC$1,'IA1-Final Void inc Ramps'!$A$9:$BN$9,1),FALSE),0)</f>
        <v>0</v>
      </c>
      <c r="AD15" s="47">
        <f>IFERROR(VLOOKUP($B15,'RA1- Elevated Dumps Upper'!$A$11:$BN$18,MATCH(Summary!AD$1,'RA1- Elevated Dumps Upper'!$A$9:$BN$9,1),FALSE),0)+IFERROR(VLOOKUP($B15,'RA2-Elevated Dumps Slopes'!$A$11:$BN$18,MATCH(Summary!AD$1,'RA2-Elevated Dumps Slopes'!$A$9:$BN$9,1),FALSE),0)+IFERROR(VLOOKUP($B15,'RA3-Backfilled Pits'!$A$11:$BN$18,MATCH(Summary!AD$1,'RA3-Backfilled Pits'!$A$9:$BN$9,1),FALSE),0)+IFERROR(VLOOKUP($B15,'RA4-Tracks_Roads'!$A$11:$BN$18,MATCH(Summary!AD$1,'RA4-Tracks_Roads'!$A$9:$BN$9,1),FALSE),0)+IFERROR(VLOOKUP($B15,'RA5-ROM'!$A$11:$BN$18,MATCH(Summary!AD$1,'RA5-ROM'!$A$9:$BN$9,1),FALSE),0)+IFERROR(VLOOKUP($B15,'RA6-CHPP'!$A$11:$BN$18,MATCH(Summary!AD$1,'RA6-CHPP'!$A$9:$BN$9,1),FALSE),0)+IFERROR(VLOOKUP($B15,'RA7-Mine Infrastructure Area'!$A$11:$BN$18,MATCH(Summary!AD$1,'RA7-Mine Infrastructure Area'!$A$9:$BN$9,1),FALSE),0)+IFERROR(VLOOKUP($B15,'RA8-Water Management Structures'!$A$11:$BN$18,MATCH(Summary!AD$1,'RA8-Water Management Structures'!$A$9:$BN$9,1),FALSE),0)+IFERROR(VLOOKUP($B15,'RA9-Codisposal Upper'!$A$11:$BN$18,MATCH(Summary!AD$1,'RA9-Codisposal Upper'!$A$9:$BN$9,1),FALSE),0)+IFERROR(VLOOKUP($B15,'RA10-Codisposal Slopes'!$A$11:$BN$18,MATCH(Summary!AD$1,'RA10-Codisposal Slopes'!$A$9:$BN$9,1),FALSE),0)+IFERROR(VLOOKUP($B15,'IA1-Final Void inc Ramps'!$A$11:$BN$18,MATCH(Summary!AD$1,'IA1-Final Void inc Ramps'!$A$9:$BN$9,1),FALSE),0)</f>
        <v>0</v>
      </c>
      <c r="AE15" s="47">
        <f>IFERROR(VLOOKUP($B15,'RA1- Elevated Dumps Upper'!$A$11:$BN$18,MATCH(Summary!AE$1,'RA1- Elevated Dumps Upper'!$A$9:$BN$9,1),FALSE),0)+IFERROR(VLOOKUP($B15,'RA2-Elevated Dumps Slopes'!$A$11:$BN$18,MATCH(Summary!AE$1,'RA2-Elevated Dumps Slopes'!$A$9:$BN$9,1),FALSE),0)+IFERROR(VLOOKUP($B15,'RA3-Backfilled Pits'!$A$11:$BN$18,MATCH(Summary!AE$1,'RA3-Backfilled Pits'!$A$9:$BN$9,1),FALSE),0)+IFERROR(VLOOKUP($B15,'RA4-Tracks_Roads'!$A$11:$BN$18,MATCH(Summary!AE$1,'RA4-Tracks_Roads'!$A$9:$BN$9,1),FALSE),0)+IFERROR(VLOOKUP($B15,'RA5-ROM'!$A$11:$BN$18,MATCH(Summary!AE$1,'RA5-ROM'!$A$9:$BN$9,1),FALSE),0)+IFERROR(VLOOKUP($B15,'RA6-CHPP'!$A$11:$BN$18,MATCH(Summary!AE$1,'RA6-CHPP'!$A$9:$BN$9,1),FALSE),0)+IFERROR(VLOOKUP($B15,'RA7-Mine Infrastructure Area'!$A$11:$BN$18,MATCH(Summary!AE$1,'RA7-Mine Infrastructure Area'!$A$9:$BN$9,1),FALSE),0)+IFERROR(VLOOKUP($B15,'RA8-Water Management Structures'!$A$11:$BN$18,MATCH(Summary!AE$1,'RA8-Water Management Structures'!$A$9:$BN$9,1),FALSE),0)+IFERROR(VLOOKUP($B15,'RA9-Codisposal Upper'!$A$11:$BN$18,MATCH(Summary!AE$1,'RA9-Codisposal Upper'!$A$9:$BN$9,1),FALSE),0)+IFERROR(VLOOKUP($B15,'RA10-Codisposal Slopes'!$A$11:$BN$18,MATCH(Summary!AE$1,'RA10-Codisposal Slopes'!$A$9:$BN$9,1),FALSE),0)+IFERROR(VLOOKUP($B15,'IA1-Final Void inc Ramps'!$A$11:$BN$18,MATCH(Summary!AE$1,'IA1-Final Void inc Ramps'!$A$9:$BN$9,1),FALSE),0)</f>
        <v>0</v>
      </c>
      <c r="AF15" s="47">
        <f>IFERROR(VLOOKUP($B15,'RA1- Elevated Dumps Upper'!$A$11:$BN$18,MATCH(Summary!AF$1,'RA1- Elevated Dumps Upper'!$A$9:$BN$9,1),FALSE),0)+IFERROR(VLOOKUP($B15,'RA2-Elevated Dumps Slopes'!$A$11:$BN$18,MATCH(Summary!AF$1,'RA2-Elevated Dumps Slopes'!$A$9:$BN$9,1),FALSE),0)+IFERROR(VLOOKUP($B15,'RA3-Backfilled Pits'!$A$11:$BN$18,MATCH(Summary!AF$1,'RA3-Backfilled Pits'!$A$9:$BN$9,1),FALSE),0)+IFERROR(VLOOKUP($B15,'RA4-Tracks_Roads'!$A$11:$BN$18,MATCH(Summary!AF$1,'RA4-Tracks_Roads'!$A$9:$BN$9,1),FALSE),0)+IFERROR(VLOOKUP($B15,'RA5-ROM'!$A$11:$BN$18,MATCH(Summary!AF$1,'RA5-ROM'!$A$9:$BN$9,1),FALSE),0)+IFERROR(VLOOKUP($B15,'RA6-CHPP'!$A$11:$BN$18,MATCH(Summary!AF$1,'RA6-CHPP'!$A$9:$BN$9,1),FALSE),0)+IFERROR(VLOOKUP($B15,'RA7-Mine Infrastructure Area'!$A$11:$BN$18,MATCH(Summary!AF$1,'RA7-Mine Infrastructure Area'!$A$9:$BN$9,1),FALSE),0)+IFERROR(VLOOKUP($B15,'RA8-Water Management Structures'!$A$11:$BN$18,MATCH(Summary!AF$1,'RA8-Water Management Structures'!$A$9:$BN$9,1),FALSE),0)+IFERROR(VLOOKUP($B15,'RA9-Codisposal Upper'!$A$11:$BN$18,MATCH(Summary!AF$1,'RA9-Codisposal Upper'!$A$9:$BN$9,1),FALSE),0)+IFERROR(VLOOKUP($B15,'RA10-Codisposal Slopes'!$A$11:$BN$18,MATCH(Summary!AF$1,'RA10-Codisposal Slopes'!$A$9:$BN$9,1),FALSE),0)+IFERROR(VLOOKUP($B15,'IA1-Final Void inc Ramps'!$A$11:$BN$18,MATCH(Summary!AF$1,'IA1-Final Void inc Ramps'!$A$9:$BN$9,1),FALSE),0)</f>
        <v>0</v>
      </c>
      <c r="AG15" s="47">
        <f>IFERROR(VLOOKUP($B15,'RA1- Elevated Dumps Upper'!$A$11:$BN$18,MATCH(Summary!AG$1,'RA1- Elevated Dumps Upper'!$A$9:$BN$9,1),FALSE),0)+IFERROR(VLOOKUP($B15,'RA2-Elevated Dumps Slopes'!$A$11:$BN$18,MATCH(Summary!AG$1,'RA2-Elevated Dumps Slopes'!$A$9:$BN$9,1),FALSE),0)+IFERROR(VLOOKUP($B15,'RA3-Backfilled Pits'!$A$11:$BN$18,MATCH(Summary!AG$1,'RA3-Backfilled Pits'!$A$9:$BN$9,1),FALSE),0)+IFERROR(VLOOKUP($B15,'RA4-Tracks_Roads'!$A$11:$BN$18,MATCH(Summary!AG$1,'RA4-Tracks_Roads'!$A$9:$BN$9,1),FALSE),0)+IFERROR(VLOOKUP($B15,'RA5-ROM'!$A$11:$BN$18,MATCH(Summary!AG$1,'RA5-ROM'!$A$9:$BN$9,1),FALSE),0)+IFERROR(VLOOKUP($B15,'RA6-CHPP'!$A$11:$BN$18,MATCH(Summary!AG$1,'RA6-CHPP'!$A$9:$BN$9,1),FALSE),0)+IFERROR(VLOOKUP($B15,'RA7-Mine Infrastructure Area'!$A$11:$BN$18,MATCH(Summary!AG$1,'RA7-Mine Infrastructure Area'!$A$9:$BN$9,1),FALSE),0)+IFERROR(VLOOKUP($B15,'RA8-Water Management Structures'!$A$11:$BN$18,MATCH(Summary!AG$1,'RA8-Water Management Structures'!$A$9:$BN$9,1),FALSE),0)+IFERROR(VLOOKUP($B15,'RA9-Codisposal Upper'!$A$11:$BN$18,MATCH(Summary!AG$1,'RA9-Codisposal Upper'!$A$9:$BN$9,1),FALSE),0)+IFERROR(VLOOKUP($B15,'RA10-Codisposal Slopes'!$A$11:$BN$18,MATCH(Summary!AG$1,'RA10-Codisposal Slopes'!$A$9:$BN$9,1),FALSE),0)+IFERROR(VLOOKUP($B15,'IA1-Final Void inc Ramps'!$A$11:$BN$18,MATCH(Summary!AG$1,'IA1-Final Void inc Ramps'!$A$9:$BN$9,1),FALSE),0)</f>
        <v>0</v>
      </c>
      <c r="AH15" s="47">
        <f>IFERROR(VLOOKUP($B15,'RA1- Elevated Dumps Upper'!$A$11:$BN$18,MATCH(Summary!AH$1,'RA1- Elevated Dumps Upper'!$A$9:$BN$9,1),FALSE),0)+IFERROR(VLOOKUP($B15,'RA2-Elevated Dumps Slopes'!$A$11:$BN$18,MATCH(Summary!AH$1,'RA2-Elevated Dumps Slopes'!$A$9:$BN$9,1),FALSE),0)+IFERROR(VLOOKUP($B15,'RA3-Backfilled Pits'!$A$11:$BN$18,MATCH(Summary!AH$1,'RA3-Backfilled Pits'!$A$9:$BN$9,1),FALSE),0)+IFERROR(VLOOKUP($B15,'RA4-Tracks_Roads'!$A$11:$BN$18,MATCH(Summary!AH$1,'RA4-Tracks_Roads'!$A$9:$BN$9,1),FALSE),0)+IFERROR(VLOOKUP($B15,'RA5-ROM'!$A$11:$BN$18,MATCH(Summary!AH$1,'RA5-ROM'!$A$9:$BN$9,1),FALSE),0)+IFERROR(VLOOKUP($B15,'RA6-CHPP'!$A$11:$BN$18,MATCH(Summary!AH$1,'RA6-CHPP'!$A$9:$BN$9,1),FALSE),0)+IFERROR(VLOOKUP($B15,'RA7-Mine Infrastructure Area'!$A$11:$BN$18,MATCH(Summary!AH$1,'RA7-Mine Infrastructure Area'!$A$9:$BN$9,1),FALSE),0)+IFERROR(VLOOKUP($B15,'RA8-Water Management Structures'!$A$11:$BN$18,MATCH(Summary!AH$1,'RA8-Water Management Structures'!$A$9:$BN$9,1),FALSE),0)+IFERROR(VLOOKUP($B15,'RA9-Codisposal Upper'!$A$11:$BN$18,MATCH(Summary!AH$1,'RA9-Codisposal Upper'!$A$9:$BN$9,1),FALSE),0)+IFERROR(VLOOKUP($B15,'RA10-Codisposal Slopes'!$A$11:$BN$18,MATCH(Summary!AH$1,'RA10-Codisposal Slopes'!$A$9:$BN$9,1),FALSE),0)+IFERROR(VLOOKUP($B15,'IA1-Final Void inc Ramps'!$A$11:$BN$18,MATCH(Summary!AH$1,'IA1-Final Void inc Ramps'!$A$9:$BN$9,1),FALSE),0)</f>
        <v>65.300000000000011</v>
      </c>
      <c r="AI15" s="47">
        <f>IFERROR(VLOOKUP($B15,'RA1- Elevated Dumps Upper'!$A$11:$BN$18,MATCH(Summary!AI$1,'RA1- Elevated Dumps Upper'!$A$9:$BN$9,1),FALSE),0)+IFERROR(VLOOKUP($B15,'RA2-Elevated Dumps Slopes'!$A$11:$BN$18,MATCH(Summary!AI$1,'RA2-Elevated Dumps Slopes'!$A$9:$BN$9,1),FALSE),0)+IFERROR(VLOOKUP($B15,'RA3-Backfilled Pits'!$A$11:$BN$18,MATCH(Summary!AI$1,'RA3-Backfilled Pits'!$A$9:$BN$9,1),FALSE),0)+IFERROR(VLOOKUP($B15,'RA4-Tracks_Roads'!$A$11:$BN$18,MATCH(Summary!AI$1,'RA4-Tracks_Roads'!$A$9:$BN$9,1),FALSE),0)+IFERROR(VLOOKUP($B15,'RA5-ROM'!$A$11:$BN$18,MATCH(Summary!AI$1,'RA5-ROM'!$A$9:$BN$9,1),FALSE),0)+IFERROR(VLOOKUP($B15,'RA6-CHPP'!$A$11:$BN$18,MATCH(Summary!AI$1,'RA6-CHPP'!$A$9:$BN$9,1),FALSE),0)+IFERROR(VLOOKUP($B15,'RA7-Mine Infrastructure Area'!$A$11:$BN$18,MATCH(Summary!AI$1,'RA7-Mine Infrastructure Area'!$A$9:$BN$9,1),FALSE),0)+IFERROR(VLOOKUP($B15,'RA8-Water Management Structures'!$A$11:$BN$18,MATCH(Summary!AI$1,'RA8-Water Management Structures'!$A$9:$BN$9,1),FALSE),0)+IFERROR(VLOOKUP($B15,'RA9-Codisposal Upper'!$A$11:$BN$18,MATCH(Summary!AI$1,'RA9-Codisposal Upper'!$A$9:$BN$9,1),FALSE),0)+IFERROR(VLOOKUP($B15,'RA10-Codisposal Slopes'!$A$11:$BN$18,MATCH(Summary!AI$1,'RA10-Codisposal Slopes'!$A$9:$BN$9,1),FALSE),0)+IFERROR(VLOOKUP($B15,'IA1-Final Void inc Ramps'!$A$11:$BN$18,MATCH(Summary!AI$1,'IA1-Final Void inc Ramps'!$A$9:$BN$9,1),FALSE),0)</f>
        <v>65.300000000000011</v>
      </c>
      <c r="AJ15" s="47">
        <f>IFERROR(VLOOKUP($B15,'RA1- Elevated Dumps Upper'!$A$11:$BN$18,MATCH(Summary!AJ$1,'RA1- Elevated Dumps Upper'!$A$9:$BN$9,1),FALSE),0)+IFERROR(VLOOKUP($B15,'RA2-Elevated Dumps Slopes'!$A$11:$BN$18,MATCH(Summary!AJ$1,'RA2-Elevated Dumps Slopes'!$A$9:$BN$9,1),FALSE),0)+IFERROR(VLOOKUP($B15,'RA3-Backfilled Pits'!$A$11:$BN$18,MATCH(Summary!AJ$1,'RA3-Backfilled Pits'!$A$9:$BN$9,1),FALSE),0)+IFERROR(VLOOKUP($B15,'RA4-Tracks_Roads'!$A$11:$BN$18,MATCH(Summary!AJ$1,'RA4-Tracks_Roads'!$A$9:$BN$9,1),FALSE),0)+IFERROR(VLOOKUP($B15,'RA5-ROM'!$A$11:$BN$18,MATCH(Summary!AJ$1,'RA5-ROM'!$A$9:$BN$9,1),FALSE),0)+IFERROR(VLOOKUP($B15,'RA6-CHPP'!$A$11:$BN$18,MATCH(Summary!AJ$1,'RA6-CHPP'!$A$9:$BN$9,1),FALSE),0)+IFERROR(VLOOKUP($B15,'RA7-Mine Infrastructure Area'!$A$11:$BN$18,MATCH(Summary!AJ$1,'RA7-Mine Infrastructure Area'!$A$9:$BN$9,1),FALSE),0)+IFERROR(VLOOKUP($B15,'RA8-Water Management Structures'!$A$11:$BN$18,MATCH(Summary!AJ$1,'RA8-Water Management Structures'!$A$9:$BN$9,1),FALSE),0)+IFERROR(VLOOKUP($B15,'RA9-Codisposal Upper'!$A$11:$BN$18,MATCH(Summary!AJ$1,'RA9-Codisposal Upper'!$A$9:$BN$9,1),FALSE),0)+IFERROR(VLOOKUP($B15,'RA10-Codisposal Slopes'!$A$11:$BN$18,MATCH(Summary!AJ$1,'RA10-Codisposal Slopes'!$A$9:$BN$9,1),FALSE),0)+IFERROR(VLOOKUP($B15,'IA1-Final Void inc Ramps'!$A$11:$BN$18,MATCH(Summary!AJ$1,'IA1-Final Void inc Ramps'!$A$9:$BN$9,1),FALSE),0)</f>
        <v>65.300000000000011</v>
      </c>
      <c r="AK15" s="47">
        <f>IFERROR(VLOOKUP($B15,'RA1- Elevated Dumps Upper'!$A$11:$BN$18,MATCH(Summary!AK$1,'RA1- Elevated Dumps Upper'!$A$9:$BN$9,1),FALSE),0)+IFERROR(VLOOKUP($B15,'RA2-Elevated Dumps Slopes'!$A$11:$BN$18,MATCH(Summary!AK$1,'RA2-Elevated Dumps Slopes'!$A$9:$BN$9,1),FALSE),0)+IFERROR(VLOOKUP($B15,'RA3-Backfilled Pits'!$A$11:$BN$18,MATCH(Summary!AK$1,'RA3-Backfilled Pits'!$A$9:$BN$9,1),FALSE),0)+IFERROR(VLOOKUP($B15,'RA4-Tracks_Roads'!$A$11:$BN$18,MATCH(Summary!AK$1,'RA4-Tracks_Roads'!$A$9:$BN$9,1),FALSE),0)+IFERROR(VLOOKUP($B15,'RA5-ROM'!$A$11:$BN$18,MATCH(Summary!AK$1,'RA5-ROM'!$A$9:$BN$9,1),FALSE),0)+IFERROR(VLOOKUP($B15,'RA6-CHPP'!$A$11:$BN$18,MATCH(Summary!AK$1,'RA6-CHPP'!$A$9:$BN$9,1),FALSE),0)+IFERROR(VLOOKUP($B15,'RA7-Mine Infrastructure Area'!$A$11:$BN$18,MATCH(Summary!AK$1,'RA7-Mine Infrastructure Area'!$A$9:$BN$9,1),FALSE),0)+IFERROR(VLOOKUP($B15,'RA8-Water Management Structures'!$A$11:$BN$18,MATCH(Summary!AK$1,'RA8-Water Management Structures'!$A$9:$BN$9,1),FALSE),0)+IFERROR(VLOOKUP($B15,'RA9-Codisposal Upper'!$A$11:$BN$18,MATCH(Summary!AK$1,'RA9-Codisposal Upper'!$A$9:$BN$9,1),FALSE),0)+IFERROR(VLOOKUP($B15,'RA10-Codisposal Slopes'!$A$11:$BN$18,MATCH(Summary!AK$1,'RA10-Codisposal Slopes'!$A$9:$BN$9,1),FALSE),0)+IFERROR(VLOOKUP($B15,'IA1-Final Void inc Ramps'!$A$11:$BN$18,MATCH(Summary!AK$1,'IA1-Final Void inc Ramps'!$A$9:$BN$9,1),FALSE),0)</f>
        <v>65.300000000000011</v>
      </c>
      <c r="AL15" s="47">
        <f>IFERROR(VLOOKUP($B15,'RA1- Elevated Dumps Upper'!$A$11:$BN$18,MATCH(Summary!AL$1,'RA1- Elevated Dumps Upper'!$A$9:$BN$9,1),FALSE),0)+IFERROR(VLOOKUP($B15,'RA2-Elevated Dumps Slopes'!$A$11:$BN$18,MATCH(Summary!AL$1,'RA2-Elevated Dumps Slopes'!$A$9:$BN$9,1),FALSE),0)+IFERROR(VLOOKUP($B15,'RA3-Backfilled Pits'!$A$11:$BN$18,MATCH(Summary!AL$1,'RA3-Backfilled Pits'!$A$9:$BN$9,1),FALSE),0)+IFERROR(VLOOKUP($B15,'RA4-Tracks_Roads'!$A$11:$BN$18,MATCH(Summary!AL$1,'RA4-Tracks_Roads'!$A$9:$BN$9,1),FALSE),0)+IFERROR(VLOOKUP($B15,'RA5-ROM'!$A$11:$BN$18,MATCH(Summary!AL$1,'RA5-ROM'!$A$9:$BN$9,1),FALSE),0)+IFERROR(VLOOKUP($B15,'RA6-CHPP'!$A$11:$BN$18,MATCH(Summary!AL$1,'RA6-CHPP'!$A$9:$BN$9,1),FALSE),0)+IFERROR(VLOOKUP($B15,'RA7-Mine Infrastructure Area'!$A$11:$BN$18,MATCH(Summary!AL$1,'RA7-Mine Infrastructure Area'!$A$9:$BN$9,1),FALSE),0)+IFERROR(VLOOKUP($B15,'RA8-Water Management Structures'!$A$11:$BN$18,MATCH(Summary!AL$1,'RA8-Water Management Structures'!$A$9:$BN$9,1),FALSE),0)+IFERROR(VLOOKUP($B15,'RA9-Codisposal Upper'!$A$11:$BN$18,MATCH(Summary!AL$1,'RA9-Codisposal Upper'!$A$9:$BN$9,1),FALSE),0)+IFERROR(VLOOKUP($B15,'RA10-Codisposal Slopes'!$A$11:$BN$18,MATCH(Summary!AL$1,'RA10-Codisposal Slopes'!$A$9:$BN$9,1),FALSE),0)+IFERROR(VLOOKUP($B15,'IA1-Final Void inc Ramps'!$A$11:$BN$18,MATCH(Summary!AL$1,'IA1-Final Void inc Ramps'!$A$9:$BN$9,1),FALSE),0)</f>
        <v>65.300000000000011</v>
      </c>
      <c r="AM15" s="47">
        <f>IFERROR(VLOOKUP($B15,'RA1- Elevated Dumps Upper'!$A$11:$BN$18,MATCH(Summary!AM$1,'RA1- Elevated Dumps Upper'!$A$9:$BN$9,1),FALSE),0)+IFERROR(VLOOKUP($B15,'RA2-Elevated Dumps Slopes'!$A$11:$BN$18,MATCH(Summary!AM$1,'RA2-Elevated Dumps Slopes'!$A$9:$BN$9,1),FALSE),0)+IFERROR(VLOOKUP($B15,'RA3-Backfilled Pits'!$A$11:$BN$18,MATCH(Summary!AM$1,'RA3-Backfilled Pits'!$A$9:$BN$9,1),FALSE),0)+IFERROR(VLOOKUP($B15,'RA4-Tracks_Roads'!$A$11:$BN$18,MATCH(Summary!AM$1,'RA4-Tracks_Roads'!$A$9:$BN$9,1),FALSE),0)+IFERROR(VLOOKUP($B15,'RA5-ROM'!$A$11:$BN$18,MATCH(Summary!AM$1,'RA5-ROM'!$A$9:$BN$9,1),FALSE),0)+IFERROR(VLOOKUP($B15,'RA6-CHPP'!$A$11:$BN$18,MATCH(Summary!AM$1,'RA6-CHPP'!$A$9:$BN$9,1),FALSE),0)+IFERROR(VLOOKUP($B15,'RA7-Mine Infrastructure Area'!$A$11:$BN$18,MATCH(Summary!AM$1,'RA7-Mine Infrastructure Area'!$A$9:$BN$9,1),FALSE),0)+IFERROR(VLOOKUP($B15,'RA8-Water Management Structures'!$A$11:$BN$18,MATCH(Summary!AM$1,'RA8-Water Management Structures'!$A$9:$BN$9,1),FALSE),0)+IFERROR(VLOOKUP($B15,'RA9-Codisposal Upper'!$A$11:$BN$18,MATCH(Summary!AM$1,'RA9-Codisposal Upper'!$A$9:$BN$9,1),FALSE),0)+IFERROR(VLOOKUP($B15,'RA10-Codisposal Slopes'!$A$11:$BN$18,MATCH(Summary!AM$1,'RA10-Codisposal Slopes'!$A$9:$BN$9,1),FALSE),0)+IFERROR(VLOOKUP($B15,'IA1-Final Void inc Ramps'!$A$11:$BN$18,MATCH(Summary!AM$1,'IA1-Final Void inc Ramps'!$A$9:$BN$9,1),FALSE),0)</f>
        <v>65.300000000000011</v>
      </c>
      <c r="AN15" s="47">
        <f>IFERROR(VLOOKUP($B15,'RA1- Elevated Dumps Upper'!$A$11:$BN$18,MATCH(Summary!AN$1,'RA1- Elevated Dumps Upper'!$A$9:$BN$9,1),FALSE),0)+IFERROR(VLOOKUP($B15,'RA2-Elevated Dumps Slopes'!$A$11:$BN$18,MATCH(Summary!AN$1,'RA2-Elevated Dumps Slopes'!$A$9:$BN$9,1),FALSE),0)+IFERROR(VLOOKUP($B15,'RA3-Backfilled Pits'!$A$11:$BN$18,MATCH(Summary!AN$1,'RA3-Backfilled Pits'!$A$9:$BN$9,1),FALSE),0)+IFERROR(VLOOKUP($B15,'RA4-Tracks_Roads'!$A$11:$BN$18,MATCH(Summary!AN$1,'RA4-Tracks_Roads'!$A$9:$BN$9,1),FALSE),0)+IFERROR(VLOOKUP($B15,'RA5-ROM'!$A$11:$BN$18,MATCH(Summary!AN$1,'RA5-ROM'!$A$9:$BN$9,1),FALSE),0)+IFERROR(VLOOKUP($B15,'RA6-CHPP'!$A$11:$BN$18,MATCH(Summary!AN$1,'RA6-CHPP'!$A$9:$BN$9,1),FALSE),0)+IFERROR(VLOOKUP($B15,'RA7-Mine Infrastructure Area'!$A$11:$BN$18,MATCH(Summary!AN$1,'RA7-Mine Infrastructure Area'!$A$9:$BN$9,1),FALSE),0)+IFERROR(VLOOKUP($B15,'RA8-Water Management Structures'!$A$11:$BN$18,MATCH(Summary!AN$1,'RA8-Water Management Structures'!$A$9:$BN$9,1),FALSE),0)+IFERROR(VLOOKUP($B15,'RA9-Codisposal Upper'!$A$11:$BN$18,MATCH(Summary!AN$1,'RA9-Codisposal Upper'!$A$9:$BN$9,1),FALSE),0)+IFERROR(VLOOKUP($B15,'RA10-Codisposal Slopes'!$A$11:$BN$18,MATCH(Summary!AN$1,'RA10-Codisposal Slopes'!$A$9:$BN$9,1),FALSE),0)+IFERROR(VLOOKUP($B15,'IA1-Final Void inc Ramps'!$A$11:$BN$18,MATCH(Summary!AN$1,'IA1-Final Void inc Ramps'!$A$9:$BN$9,1),FALSE),0)</f>
        <v>65.300000000000011</v>
      </c>
      <c r="AO15" s="47">
        <f>IFERROR(VLOOKUP($B15,'RA1- Elevated Dumps Upper'!$A$11:$BN$18,MATCH(Summary!AO$1,'RA1- Elevated Dumps Upper'!$A$9:$BN$9,1),FALSE),0)+IFERROR(VLOOKUP($B15,'RA2-Elevated Dumps Slopes'!$A$11:$BN$18,MATCH(Summary!AO$1,'RA2-Elevated Dumps Slopes'!$A$9:$BN$9,1),FALSE),0)+IFERROR(VLOOKUP($B15,'RA3-Backfilled Pits'!$A$11:$BN$18,MATCH(Summary!AO$1,'RA3-Backfilled Pits'!$A$9:$BN$9,1),FALSE),0)+IFERROR(VLOOKUP($B15,'RA4-Tracks_Roads'!$A$11:$BN$18,MATCH(Summary!AO$1,'RA4-Tracks_Roads'!$A$9:$BN$9,1),FALSE),0)+IFERROR(VLOOKUP($B15,'RA5-ROM'!$A$11:$BN$18,MATCH(Summary!AO$1,'RA5-ROM'!$A$9:$BN$9,1),FALSE),0)+IFERROR(VLOOKUP($B15,'RA6-CHPP'!$A$11:$BN$18,MATCH(Summary!AO$1,'RA6-CHPP'!$A$9:$BN$9,1),FALSE),0)+IFERROR(VLOOKUP($B15,'RA7-Mine Infrastructure Area'!$A$11:$BN$18,MATCH(Summary!AO$1,'RA7-Mine Infrastructure Area'!$A$9:$BN$9,1),FALSE),0)+IFERROR(VLOOKUP($B15,'RA8-Water Management Structures'!$A$11:$BN$18,MATCH(Summary!AO$1,'RA8-Water Management Structures'!$A$9:$BN$9,1),FALSE),0)+IFERROR(VLOOKUP($B15,'RA9-Codisposal Upper'!$A$11:$BN$18,MATCH(Summary!AO$1,'RA9-Codisposal Upper'!$A$9:$BN$9,1),FALSE),0)+IFERROR(VLOOKUP($B15,'RA10-Codisposal Slopes'!$A$11:$BN$18,MATCH(Summary!AO$1,'RA10-Codisposal Slopes'!$A$9:$BN$9,1),FALSE),0)+IFERROR(VLOOKUP($B15,'IA1-Final Void inc Ramps'!$A$11:$BN$18,MATCH(Summary!AO$1,'IA1-Final Void inc Ramps'!$A$9:$BN$9,1),FALSE),0)</f>
        <v>65.300000000000011</v>
      </c>
      <c r="AP15" s="47">
        <f>IFERROR(VLOOKUP($B15,'RA1- Elevated Dumps Upper'!$A$11:$BN$18,MATCH(Summary!AP$1,'RA1- Elevated Dumps Upper'!$A$9:$BN$9,1),FALSE),0)+IFERROR(VLOOKUP($B15,'RA2-Elevated Dumps Slopes'!$A$11:$BN$18,MATCH(Summary!AP$1,'RA2-Elevated Dumps Slopes'!$A$9:$BN$9,1),FALSE),0)+IFERROR(VLOOKUP($B15,'RA3-Backfilled Pits'!$A$11:$BN$18,MATCH(Summary!AP$1,'RA3-Backfilled Pits'!$A$9:$BN$9,1),FALSE),0)+IFERROR(VLOOKUP($B15,'RA4-Tracks_Roads'!$A$11:$BN$18,MATCH(Summary!AP$1,'RA4-Tracks_Roads'!$A$9:$BN$9,1),FALSE),0)+IFERROR(VLOOKUP($B15,'RA5-ROM'!$A$11:$BN$18,MATCH(Summary!AP$1,'RA5-ROM'!$A$9:$BN$9,1),FALSE),0)+IFERROR(VLOOKUP($B15,'RA6-CHPP'!$A$11:$BN$18,MATCH(Summary!AP$1,'RA6-CHPP'!$A$9:$BN$9,1),FALSE),0)+IFERROR(VLOOKUP($B15,'RA7-Mine Infrastructure Area'!$A$11:$BN$18,MATCH(Summary!AP$1,'RA7-Mine Infrastructure Area'!$A$9:$BN$9,1),FALSE),0)+IFERROR(VLOOKUP($B15,'RA8-Water Management Structures'!$A$11:$BN$18,MATCH(Summary!AP$1,'RA8-Water Management Structures'!$A$9:$BN$9,1),FALSE),0)+IFERROR(VLOOKUP($B15,'RA9-Codisposal Upper'!$A$11:$BN$18,MATCH(Summary!AP$1,'RA9-Codisposal Upper'!$A$9:$BN$9,1),FALSE),0)+IFERROR(VLOOKUP($B15,'RA10-Codisposal Slopes'!$A$11:$BN$18,MATCH(Summary!AP$1,'RA10-Codisposal Slopes'!$A$9:$BN$9,1),FALSE),0)+IFERROR(VLOOKUP($B15,'IA1-Final Void inc Ramps'!$A$11:$BN$18,MATCH(Summary!AP$1,'IA1-Final Void inc Ramps'!$A$9:$BN$9,1),FALSE),0)</f>
        <v>65.300000000000011</v>
      </c>
      <c r="AQ15" s="47">
        <f>IFERROR(VLOOKUP($B15,'RA1- Elevated Dumps Upper'!$A$11:$BN$18,MATCH(Summary!AQ$1,'RA1- Elevated Dumps Upper'!$A$9:$BN$9,1),FALSE),0)+IFERROR(VLOOKUP($B15,'RA2-Elevated Dumps Slopes'!$A$11:$BN$18,MATCH(Summary!AQ$1,'RA2-Elevated Dumps Slopes'!$A$9:$BN$9,1),FALSE),0)+IFERROR(VLOOKUP($B15,'RA3-Backfilled Pits'!$A$11:$BN$18,MATCH(Summary!AQ$1,'RA3-Backfilled Pits'!$A$9:$BN$9,1),FALSE),0)+IFERROR(VLOOKUP($B15,'RA4-Tracks_Roads'!$A$11:$BN$18,MATCH(Summary!AQ$1,'RA4-Tracks_Roads'!$A$9:$BN$9,1),FALSE),0)+IFERROR(VLOOKUP($B15,'RA5-ROM'!$A$11:$BN$18,MATCH(Summary!AQ$1,'RA5-ROM'!$A$9:$BN$9,1),FALSE),0)+IFERROR(VLOOKUP($B15,'RA6-CHPP'!$A$11:$BN$18,MATCH(Summary!AQ$1,'RA6-CHPP'!$A$9:$BN$9,1),FALSE),0)+IFERROR(VLOOKUP($B15,'RA7-Mine Infrastructure Area'!$A$11:$BN$18,MATCH(Summary!AQ$1,'RA7-Mine Infrastructure Area'!$A$9:$BN$9,1),FALSE),0)+IFERROR(VLOOKUP($B15,'RA8-Water Management Structures'!$A$11:$BN$18,MATCH(Summary!AQ$1,'RA8-Water Management Structures'!$A$9:$BN$9,1),FALSE),0)+IFERROR(VLOOKUP($B15,'RA9-Codisposal Upper'!$A$11:$BN$18,MATCH(Summary!AQ$1,'RA9-Codisposal Upper'!$A$9:$BN$9,1),FALSE),0)+IFERROR(VLOOKUP($B15,'RA10-Codisposal Slopes'!$A$11:$BN$18,MATCH(Summary!AQ$1,'RA10-Codisposal Slopes'!$A$9:$BN$9,1),FALSE),0)+IFERROR(VLOOKUP($B15,'IA1-Final Void inc Ramps'!$A$11:$BN$18,MATCH(Summary!AQ$1,'IA1-Final Void inc Ramps'!$A$9:$BN$9,1),FALSE),0)</f>
        <v>65.300000000000011</v>
      </c>
      <c r="AR15" s="47">
        <f>IFERROR(VLOOKUP($B15,'RA1- Elevated Dumps Upper'!$A$11:$BN$18,MATCH(Summary!AR$1,'RA1- Elevated Dumps Upper'!$A$9:$BN$9,1),FALSE),0)+IFERROR(VLOOKUP($B15,'RA2-Elevated Dumps Slopes'!$A$11:$BN$18,MATCH(Summary!AR$1,'RA2-Elevated Dumps Slopes'!$A$9:$BN$9,1),FALSE),0)+IFERROR(VLOOKUP($B15,'RA3-Backfilled Pits'!$A$11:$BN$18,MATCH(Summary!AR$1,'RA3-Backfilled Pits'!$A$9:$BN$9,1),FALSE),0)+IFERROR(VLOOKUP($B15,'RA4-Tracks_Roads'!$A$11:$BN$18,MATCH(Summary!AR$1,'RA4-Tracks_Roads'!$A$9:$BN$9,1),FALSE),0)+IFERROR(VLOOKUP($B15,'RA5-ROM'!$A$11:$BN$18,MATCH(Summary!AR$1,'RA5-ROM'!$A$9:$BN$9,1),FALSE),0)+IFERROR(VLOOKUP($B15,'RA6-CHPP'!$A$11:$BN$18,MATCH(Summary!AR$1,'RA6-CHPP'!$A$9:$BN$9,1),FALSE),0)+IFERROR(VLOOKUP($B15,'RA7-Mine Infrastructure Area'!$A$11:$BN$18,MATCH(Summary!AR$1,'RA7-Mine Infrastructure Area'!$A$9:$BN$9,1),FALSE),0)+IFERROR(VLOOKUP($B15,'RA8-Water Management Structures'!$A$11:$BN$18,MATCH(Summary!AR$1,'RA8-Water Management Structures'!$A$9:$BN$9,1),FALSE),0)+IFERROR(VLOOKUP($B15,'RA9-Codisposal Upper'!$A$11:$BN$18,MATCH(Summary!AR$1,'RA9-Codisposal Upper'!$A$9:$BN$9,1),FALSE),0)+IFERROR(VLOOKUP($B15,'RA10-Codisposal Slopes'!$A$11:$BN$18,MATCH(Summary!AR$1,'RA10-Codisposal Slopes'!$A$9:$BN$9,1),FALSE),0)+IFERROR(VLOOKUP($B15,'IA1-Final Void inc Ramps'!$A$11:$BN$18,MATCH(Summary!AR$1,'IA1-Final Void inc Ramps'!$A$9:$BN$9,1),FALSE),0)</f>
        <v>65.300000000000011</v>
      </c>
      <c r="AS15" s="47">
        <f>IFERROR(VLOOKUP($B15,'RA1- Elevated Dumps Upper'!$A$11:$BN$18,MATCH(Summary!AS$1,'RA1- Elevated Dumps Upper'!$A$9:$BN$9,1),FALSE),0)+IFERROR(VLOOKUP($B15,'RA2-Elevated Dumps Slopes'!$A$11:$BN$18,MATCH(Summary!AS$1,'RA2-Elevated Dumps Slopes'!$A$9:$BN$9,1),FALSE),0)+IFERROR(VLOOKUP($B15,'RA3-Backfilled Pits'!$A$11:$BN$18,MATCH(Summary!AS$1,'RA3-Backfilled Pits'!$A$9:$BN$9,1),FALSE),0)+IFERROR(VLOOKUP($B15,'RA4-Tracks_Roads'!$A$11:$BN$18,MATCH(Summary!AS$1,'RA4-Tracks_Roads'!$A$9:$BN$9,1),FALSE),0)+IFERROR(VLOOKUP($B15,'RA5-ROM'!$A$11:$BN$18,MATCH(Summary!AS$1,'RA5-ROM'!$A$9:$BN$9,1),FALSE),0)+IFERROR(VLOOKUP($B15,'RA6-CHPP'!$A$11:$BN$18,MATCH(Summary!AS$1,'RA6-CHPP'!$A$9:$BN$9,1),FALSE),0)+IFERROR(VLOOKUP($B15,'RA7-Mine Infrastructure Area'!$A$11:$BN$18,MATCH(Summary!AS$1,'RA7-Mine Infrastructure Area'!$A$9:$BN$9,1),FALSE),0)+IFERROR(VLOOKUP($B15,'RA8-Water Management Structures'!$A$11:$BN$18,MATCH(Summary!AS$1,'RA8-Water Management Structures'!$A$9:$BN$9,1),FALSE),0)+IFERROR(VLOOKUP($B15,'RA9-Codisposal Upper'!$A$11:$BN$18,MATCH(Summary!AS$1,'RA9-Codisposal Upper'!$A$9:$BN$9,1),FALSE),0)+IFERROR(VLOOKUP($B15,'RA10-Codisposal Slopes'!$A$11:$BN$18,MATCH(Summary!AS$1,'RA10-Codisposal Slopes'!$A$9:$BN$9,1),FALSE),0)+IFERROR(VLOOKUP($B15,'IA1-Final Void inc Ramps'!$A$11:$BN$18,MATCH(Summary!AS$1,'IA1-Final Void inc Ramps'!$A$9:$BN$9,1),FALSE),0)</f>
        <v>65.300000000000011</v>
      </c>
      <c r="AT15" s="47">
        <f>IFERROR(VLOOKUP($B15,'RA1- Elevated Dumps Upper'!$A$11:$BN$18,MATCH(Summary!AT$1,'RA1- Elevated Dumps Upper'!$A$9:$BN$9,1),FALSE),0)+IFERROR(VLOOKUP($B15,'RA2-Elevated Dumps Slopes'!$A$11:$BN$18,MATCH(Summary!AT$1,'RA2-Elevated Dumps Slopes'!$A$9:$BN$9,1),FALSE),0)+IFERROR(VLOOKUP($B15,'RA3-Backfilled Pits'!$A$11:$BN$18,MATCH(Summary!AT$1,'RA3-Backfilled Pits'!$A$9:$BN$9,1),FALSE),0)+IFERROR(VLOOKUP($B15,'RA4-Tracks_Roads'!$A$11:$BN$18,MATCH(Summary!AT$1,'RA4-Tracks_Roads'!$A$9:$BN$9,1),FALSE),0)+IFERROR(VLOOKUP($B15,'RA5-ROM'!$A$11:$BN$18,MATCH(Summary!AT$1,'RA5-ROM'!$A$9:$BN$9,1),FALSE),0)+IFERROR(VLOOKUP($B15,'RA6-CHPP'!$A$11:$BN$18,MATCH(Summary!AT$1,'RA6-CHPP'!$A$9:$BN$9,1),FALSE),0)+IFERROR(VLOOKUP($B15,'RA7-Mine Infrastructure Area'!$A$11:$BN$18,MATCH(Summary!AT$1,'RA7-Mine Infrastructure Area'!$A$9:$BN$9,1),FALSE),0)+IFERROR(VLOOKUP($B15,'RA8-Water Management Structures'!$A$11:$BN$18,MATCH(Summary!AT$1,'RA8-Water Management Structures'!$A$9:$BN$9,1),FALSE),0)+IFERROR(VLOOKUP($B15,'RA9-Codisposal Upper'!$A$11:$BN$18,MATCH(Summary!AT$1,'RA9-Codisposal Upper'!$A$9:$BN$9,1),FALSE),0)+IFERROR(VLOOKUP($B15,'RA10-Codisposal Slopes'!$A$11:$BN$18,MATCH(Summary!AT$1,'RA10-Codisposal Slopes'!$A$9:$BN$9,1),FALSE),0)+IFERROR(VLOOKUP($B15,'IA1-Final Void inc Ramps'!$A$11:$BN$18,MATCH(Summary!AT$1,'IA1-Final Void inc Ramps'!$A$9:$BN$9,1),FALSE),0)</f>
        <v>65.300000000000011</v>
      </c>
      <c r="AU15" s="47">
        <f>IFERROR(VLOOKUP($B15,'RA1- Elevated Dumps Upper'!$A$11:$BN$18,MATCH(Summary!AU$1,'RA1- Elevated Dumps Upper'!$A$9:$BN$9,1),FALSE),0)+IFERROR(VLOOKUP($B15,'RA2-Elevated Dumps Slopes'!$A$11:$BN$18,MATCH(Summary!AU$1,'RA2-Elevated Dumps Slopes'!$A$9:$BN$9,1),FALSE),0)+IFERROR(VLOOKUP($B15,'RA3-Backfilled Pits'!$A$11:$BN$18,MATCH(Summary!AU$1,'RA3-Backfilled Pits'!$A$9:$BN$9,1),FALSE),0)+IFERROR(VLOOKUP($B15,'RA4-Tracks_Roads'!$A$11:$BN$18,MATCH(Summary!AU$1,'RA4-Tracks_Roads'!$A$9:$BN$9,1),FALSE),0)+IFERROR(VLOOKUP($B15,'RA5-ROM'!$A$11:$BN$18,MATCH(Summary!AU$1,'RA5-ROM'!$A$9:$BN$9,1),FALSE),0)+IFERROR(VLOOKUP($B15,'RA6-CHPP'!$A$11:$BN$18,MATCH(Summary!AU$1,'RA6-CHPP'!$A$9:$BN$9,1),FALSE),0)+IFERROR(VLOOKUP($B15,'RA7-Mine Infrastructure Area'!$A$11:$BN$18,MATCH(Summary!AU$1,'RA7-Mine Infrastructure Area'!$A$9:$BN$9,1),FALSE),0)+IFERROR(VLOOKUP($B15,'RA8-Water Management Structures'!$A$11:$BN$18,MATCH(Summary!AU$1,'RA8-Water Management Structures'!$A$9:$BN$9,1),FALSE),0)+IFERROR(VLOOKUP($B15,'RA9-Codisposal Upper'!$A$11:$BN$18,MATCH(Summary!AU$1,'RA9-Codisposal Upper'!$A$9:$BN$9,1),FALSE),0)+IFERROR(VLOOKUP($B15,'RA10-Codisposal Slopes'!$A$11:$BN$18,MATCH(Summary!AU$1,'RA10-Codisposal Slopes'!$A$9:$BN$9,1),FALSE),0)+IFERROR(VLOOKUP($B15,'IA1-Final Void inc Ramps'!$A$11:$BN$18,MATCH(Summary!AU$1,'IA1-Final Void inc Ramps'!$A$9:$BN$9,1),FALSE),0)</f>
        <v>65.300000000000011</v>
      </c>
      <c r="AV15" s="47">
        <f>IFERROR(VLOOKUP($B15,'RA1- Elevated Dumps Upper'!$A$11:$BN$18,MATCH(Summary!AV$1,'RA1- Elevated Dumps Upper'!$A$9:$BN$9,1),FALSE),0)+IFERROR(VLOOKUP($B15,'RA2-Elevated Dumps Slopes'!$A$11:$BN$18,MATCH(Summary!AV$1,'RA2-Elevated Dumps Slopes'!$A$9:$BN$9,1),FALSE),0)+IFERROR(VLOOKUP($B15,'RA3-Backfilled Pits'!$A$11:$BN$18,MATCH(Summary!AV$1,'RA3-Backfilled Pits'!$A$9:$BN$9,1),FALSE),0)+IFERROR(VLOOKUP($B15,'RA4-Tracks_Roads'!$A$11:$BN$18,MATCH(Summary!AV$1,'RA4-Tracks_Roads'!$A$9:$BN$9,1),FALSE),0)+IFERROR(VLOOKUP($B15,'RA5-ROM'!$A$11:$BN$18,MATCH(Summary!AV$1,'RA5-ROM'!$A$9:$BN$9,1),FALSE),0)+IFERROR(VLOOKUP($B15,'RA6-CHPP'!$A$11:$BN$18,MATCH(Summary!AV$1,'RA6-CHPP'!$A$9:$BN$9,1),FALSE),0)+IFERROR(VLOOKUP($B15,'RA7-Mine Infrastructure Area'!$A$11:$BN$18,MATCH(Summary!AV$1,'RA7-Mine Infrastructure Area'!$A$9:$BN$9,1),FALSE),0)+IFERROR(VLOOKUP($B15,'RA8-Water Management Structures'!$A$11:$BN$18,MATCH(Summary!AV$1,'RA8-Water Management Structures'!$A$9:$BN$9,1),FALSE),0)+IFERROR(VLOOKUP($B15,'RA9-Codisposal Upper'!$A$11:$BN$18,MATCH(Summary!AV$1,'RA9-Codisposal Upper'!$A$9:$BN$9,1),FALSE),0)+IFERROR(VLOOKUP($B15,'RA10-Codisposal Slopes'!$A$11:$BN$18,MATCH(Summary!AV$1,'RA10-Codisposal Slopes'!$A$9:$BN$9,1),FALSE),0)+IFERROR(VLOOKUP($B15,'IA1-Final Void inc Ramps'!$A$11:$BN$18,MATCH(Summary!AV$1,'IA1-Final Void inc Ramps'!$A$9:$BN$9,1),FALSE),0)</f>
        <v>65.300000000000011</v>
      </c>
      <c r="AW15" s="47">
        <f>IFERROR(VLOOKUP($B15,'RA1- Elevated Dumps Upper'!$A$11:$BN$18,MATCH(Summary!AW$1,'RA1- Elevated Dumps Upper'!$A$9:$BN$9,1),FALSE),0)+IFERROR(VLOOKUP($B15,'RA2-Elevated Dumps Slopes'!$A$11:$BN$18,MATCH(Summary!AW$1,'RA2-Elevated Dumps Slopes'!$A$9:$BN$9,1),FALSE),0)+IFERROR(VLOOKUP($B15,'RA3-Backfilled Pits'!$A$11:$BN$18,MATCH(Summary!AW$1,'RA3-Backfilled Pits'!$A$9:$BN$9,1),FALSE),0)+IFERROR(VLOOKUP($B15,'RA4-Tracks_Roads'!$A$11:$BN$18,MATCH(Summary!AW$1,'RA4-Tracks_Roads'!$A$9:$BN$9,1),FALSE),0)+IFERROR(VLOOKUP($B15,'RA5-ROM'!$A$11:$BN$18,MATCH(Summary!AW$1,'RA5-ROM'!$A$9:$BN$9,1),FALSE),0)+IFERROR(VLOOKUP($B15,'RA6-CHPP'!$A$11:$BN$18,MATCH(Summary!AW$1,'RA6-CHPP'!$A$9:$BN$9,1),FALSE),0)+IFERROR(VLOOKUP($B15,'RA7-Mine Infrastructure Area'!$A$11:$BN$18,MATCH(Summary!AW$1,'RA7-Mine Infrastructure Area'!$A$9:$BN$9,1),FALSE),0)+IFERROR(VLOOKUP($B15,'RA8-Water Management Structures'!$A$11:$BN$18,MATCH(Summary!AW$1,'RA8-Water Management Structures'!$A$9:$BN$9,1),FALSE),0)+IFERROR(VLOOKUP($B15,'RA9-Codisposal Upper'!$A$11:$BN$18,MATCH(Summary!AW$1,'RA9-Codisposal Upper'!$A$9:$BN$9,1),FALSE),0)+IFERROR(VLOOKUP($B15,'RA10-Codisposal Slopes'!$A$11:$BN$18,MATCH(Summary!AW$1,'RA10-Codisposal Slopes'!$A$9:$BN$9,1),FALSE),0)+IFERROR(VLOOKUP($B15,'IA1-Final Void inc Ramps'!$A$11:$BN$18,MATCH(Summary!AW$1,'IA1-Final Void inc Ramps'!$A$9:$BN$9,1),FALSE),0)</f>
        <v>65.300000000000011</v>
      </c>
      <c r="AX15" s="47">
        <f>IFERROR(VLOOKUP($B15,'RA1- Elevated Dumps Upper'!$A$11:$BN$18,MATCH(Summary!AX$1,'RA1- Elevated Dumps Upper'!$A$9:$BN$9,1),FALSE),0)+IFERROR(VLOOKUP($B15,'RA2-Elevated Dumps Slopes'!$A$11:$BN$18,MATCH(Summary!AX$1,'RA2-Elevated Dumps Slopes'!$A$9:$BN$9,1),FALSE),0)+IFERROR(VLOOKUP($B15,'RA3-Backfilled Pits'!$A$11:$BN$18,MATCH(Summary!AX$1,'RA3-Backfilled Pits'!$A$9:$BN$9,1),FALSE),0)+IFERROR(VLOOKUP($B15,'RA4-Tracks_Roads'!$A$11:$BN$18,MATCH(Summary!AX$1,'RA4-Tracks_Roads'!$A$9:$BN$9,1),FALSE),0)+IFERROR(VLOOKUP($B15,'RA5-ROM'!$A$11:$BN$18,MATCH(Summary!AX$1,'RA5-ROM'!$A$9:$BN$9,1),FALSE),0)+IFERROR(VLOOKUP($B15,'RA6-CHPP'!$A$11:$BN$18,MATCH(Summary!AX$1,'RA6-CHPP'!$A$9:$BN$9,1),FALSE),0)+IFERROR(VLOOKUP($B15,'RA7-Mine Infrastructure Area'!$A$11:$BN$18,MATCH(Summary!AX$1,'RA7-Mine Infrastructure Area'!$A$9:$BN$9,1),FALSE),0)+IFERROR(VLOOKUP($B15,'RA8-Water Management Structures'!$A$11:$BN$18,MATCH(Summary!AX$1,'RA8-Water Management Structures'!$A$9:$BN$9,1),FALSE),0)+IFERROR(VLOOKUP($B15,'RA9-Codisposal Upper'!$A$11:$BN$18,MATCH(Summary!AX$1,'RA9-Codisposal Upper'!$A$9:$BN$9,1),FALSE),0)+IFERROR(VLOOKUP($B15,'RA10-Codisposal Slopes'!$A$11:$BN$18,MATCH(Summary!AX$1,'RA10-Codisposal Slopes'!$A$9:$BN$9,1),FALSE),0)+IFERROR(VLOOKUP($B15,'IA1-Final Void inc Ramps'!$A$11:$BN$18,MATCH(Summary!AX$1,'IA1-Final Void inc Ramps'!$A$9:$BN$9,1),FALSE),0)</f>
        <v>65.300000000000011</v>
      </c>
      <c r="AY15" s="47">
        <f>IFERROR(VLOOKUP($B15,'RA1- Elevated Dumps Upper'!$A$11:$BN$18,MATCH(Summary!AY$1,'RA1- Elevated Dumps Upper'!$A$9:$BN$9,1),FALSE),0)+IFERROR(VLOOKUP($B15,'RA2-Elevated Dumps Slopes'!$A$11:$BN$18,MATCH(Summary!AY$1,'RA2-Elevated Dumps Slopes'!$A$9:$BN$9,1),FALSE),0)+IFERROR(VLOOKUP($B15,'RA3-Backfilled Pits'!$A$11:$BN$18,MATCH(Summary!AY$1,'RA3-Backfilled Pits'!$A$9:$BN$9,1),FALSE),0)+IFERROR(VLOOKUP($B15,'RA4-Tracks_Roads'!$A$11:$BN$18,MATCH(Summary!AY$1,'RA4-Tracks_Roads'!$A$9:$BN$9,1),FALSE),0)+IFERROR(VLOOKUP($B15,'RA5-ROM'!$A$11:$BN$18,MATCH(Summary!AY$1,'RA5-ROM'!$A$9:$BN$9,1),FALSE),0)+IFERROR(VLOOKUP($B15,'RA6-CHPP'!$A$11:$BN$18,MATCH(Summary!AY$1,'RA6-CHPP'!$A$9:$BN$9,1),FALSE),0)+IFERROR(VLOOKUP($B15,'RA7-Mine Infrastructure Area'!$A$11:$BN$18,MATCH(Summary!AY$1,'RA7-Mine Infrastructure Area'!$A$9:$BN$9,1),FALSE),0)+IFERROR(VLOOKUP($B15,'RA8-Water Management Structures'!$A$11:$BN$18,MATCH(Summary!AY$1,'RA8-Water Management Structures'!$A$9:$BN$9,1),FALSE),0)+IFERROR(VLOOKUP($B15,'RA9-Codisposal Upper'!$A$11:$BN$18,MATCH(Summary!AY$1,'RA9-Codisposal Upper'!$A$9:$BN$9,1),FALSE),0)+IFERROR(VLOOKUP($B15,'RA10-Codisposal Slopes'!$A$11:$BN$18,MATCH(Summary!AY$1,'RA10-Codisposal Slopes'!$A$9:$BN$9,1),FALSE),0)+IFERROR(VLOOKUP($B15,'IA1-Final Void inc Ramps'!$A$11:$BN$18,MATCH(Summary!AY$1,'IA1-Final Void inc Ramps'!$A$9:$BN$9,1),FALSE),0)</f>
        <v>65.300000000000011</v>
      </c>
      <c r="AZ15" s="47">
        <f>IFERROR(VLOOKUP($B15,'RA1- Elevated Dumps Upper'!$A$11:$BN$18,MATCH(Summary!AZ$1,'RA1- Elevated Dumps Upper'!$A$9:$BN$9,1),FALSE),0)+IFERROR(VLOOKUP($B15,'RA2-Elevated Dumps Slopes'!$A$11:$BN$18,MATCH(Summary!AZ$1,'RA2-Elevated Dumps Slopes'!$A$9:$BN$9,1),FALSE),0)+IFERROR(VLOOKUP($B15,'RA3-Backfilled Pits'!$A$11:$BN$18,MATCH(Summary!AZ$1,'RA3-Backfilled Pits'!$A$9:$BN$9,1),FALSE),0)+IFERROR(VLOOKUP($B15,'RA4-Tracks_Roads'!$A$11:$BN$18,MATCH(Summary!AZ$1,'RA4-Tracks_Roads'!$A$9:$BN$9,1),FALSE),0)+IFERROR(VLOOKUP($B15,'RA5-ROM'!$A$11:$BN$18,MATCH(Summary!AZ$1,'RA5-ROM'!$A$9:$BN$9,1),FALSE),0)+IFERROR(VLOOKUP($B15,'RA6-CHPP'!$A$11:$BN$18,MATCH(Summary!AZ$1,'RA6-CHPP'!$A$9:$BN$9,1),FALSE),0)+IFERROR(VLOOKUP($B15,'RA7-Mine Infrastructure Area'!$A$11:$BN$18,MATCH(Summary!AZ$1,'RA7-Mine Infrastructure Area'!$A$9:$BN$9,1),FALSE),0)+IFERROR(VLOOKUP($B15,'RA8-Water Management Structures'!$A$11:$BN$18,MATCH(Summary!AZ$1,'RA8-Water Management Structures'!$A$9:$BN$9,1),FALSE),0)+IFERROR(VLOOKUP($B15,'RA9-Codisposal Upper'!$A$11:$BN$18,MATCH(Summary!AZ$1,'RA9-Codisposal Upper'!$A$9:$BN$9,1),FALSE),0)+IFERROR(VLOOKUP($B15,'RA10-Codisposal Slopes'!$A$11:$BN$18,MATCH(Summary!AZ$1,'RA10-Codisposal Slopes'!$A$9:$BN$9,1),FALSE),0)+IFERROR(VLOOKUP($B15,'IA1-Final Void inc Ramps'!$A$11:$BN$18,MATCH(Summary!AZ$1,'IA1-Final Void inc Ramps'!$A$9:$BN$9,1),FALSE),0)</f>
        <v>65.300000000000011</v>
      </c>
      <c r="BA15" s="47">
        <f>IFERROR(VLOOKUP($B15,'RA1- Elevated Dumps Upper'!$A$11:$BN$18,MATCH(Summary!BA$1,'RA1- Elevated Dumps Upper'!$A$9:$BN$9,1),FALSE),0)+IFERROR(VLOOKUP($B15,'RA2-Elevated Dumps Slopes'!$A$11:$BN$18,MATCH(Summary!BA$1,'RA2-Elevated Dumps Slopes'!$A$9:$BN$9,1),FALSE),0)+IFERROR(VLOOKUP($B15,'RA3-Backfilled Pits'!$A$11:$BN$18,MATCH(Summary!BA$1,'RA3-Backfilled Pits'!$A$9:$BN$9,1),FALSE),0)+IFERROR(VLOOKUP($B15,'RA4-Tracks_Roads'!$A$11:$BN$18,MATCH(Summary!BA$1,'RA4-Tracks_Roads'!$A$9:$BN$9,1),FALSE),0)+IFERROR(VLOOKUP($B15,'RA5-ROM'!$A$11:$BN$18,MATCH(Summary!BA$1,'RA5-ROM'!$A$9:$BN$9,1),FALSE),0)+IFERROR(VLOOKUP($B15,'RA6-CHPP'!$A$11:$BN$18,MATCH(Summary!BA$1,'RA6-CHPP'!$A$9:$BN$9,1),FALSE),0)+IFERROR(VLOOKUP($B15,'RA7-Mine Infrastructure Area'!$A$11:$BN$18,MATCH(Summary!BA$1,'RA7-Mine Infrastructure Area'!$A$9:$BN$9,1),FALSE),0)+IFERROR(VLOOKUP($B15,'RA8-Water Management Structures'!$A$11:$BN$18,MATCH(Summary!BA$1,'RA8-Water Management Structures'!$A$9:$BN$9,1),FALSE),0)+IFERROR(VLOOKUP($B15,'RA9-Codisposal Upper'!$A$11:$BN$18,MATCH(Summary!BA$1,'RA9-Codisposal Upper'!$A$9:$BN$9,1),FALSE),0)+IFERROR(VLOOKUP($B15,'RA10-Codisposal Slopes'!$A$11:$BN$18,MATCH(Summary!BA$1,'RA10-Codisposal Slopes'!$A$9:$BN$9,1),FALSE),0)+IFERROR(VLOOKUP($B15,'IA1-Final Void inc Ramps'!$A$11:$BN$18,MATCH(Summary!BA$1,'IA1-Final Void inc Ramps'!$A$9:$BN$9,1),FALSE),0)</f>
        <v>65.300000000000011</v>
      </c>
      <c r="BB15" s="47">
        <f>IFERROR(VLOOKUP($B15,'RA1- Elevated Dumps Upper'!$A$11:$BN$18,MATCH(Summary!BB$1,'RA1- Elevated Dumps Upper'!$A$9:$BN$9,1),FALSE),0)+IFERROR(VLOOKUP($B15,'RA2-Elevated Dumps Slopes'!$A$11:$BN$18,MATCH(Summary!BB$1,'RA2-Elevated Dumps Slopes'!$A$9:$BN$9,1),FALSE),0)+IFERROR(VLOOKUP($B15,'RA3-Backfilled Pits'!$A$11:$BN$18,MATCH(Summary!BB$1,'RA3-Backfilled Pits'!$A$9:$BN$9,1),FALSE),0)+IFERROR(VLOOKUP($B15,'RA4-Tracks_Roads'!$A$11:$BN$18,MATCH(Summary!BB$1,'RA4-Tracks_Roads'!$A$9:$BN$9,1),FALSE),0)+IFERROR(VLOOKUP($B15,'RA5-ROM'!$A$11:$BN$18,MATCH(Summary!BB$1,'RA5-ROM'!$A$9:$BN$9,1),FALSE),0)+IFERROR(VLOOKUP($B15,'RA6-CHPP'!$A$11:$BN$18,MATCH(Summary!BB$1,'RA6-CHPP'!$A$9:$BN$9,1),FALSE),0)+IFERROR(VLOOKUP($B15,'RA7-Mine Infrastructure Area'!$A$11:$BN$18,MATCH(Summary!BB$1,'RA7-Mine Infrastructure Area'!$A$9:$BN$9,1),FALSE),0)+IFERROR(VLOOKUP($B15,'RA8-Water Management Structures'!$A$11:$BN$18,MATCH(Summary!BB$1,'RA8-Water Management Structures'!$A$9:$BN$9,1),FALSE),0)+IFERROR(VLOOKUP($B15,'RA9-Codisposal Upper'!$A$11:$BN$18,MATCH(Summary!BB$1,'RA9-Codisposal Upper'!$A$9:$BN$9,1),FALSE),0)+IFERROR(VLOOKUP($B15,'RA10-Codisposal Slopes'!$A$11:$BN$18,MATCH(Summary!BB$1,'RA10-Codisposal Slopes'!$A$9:$BN$9,1),FALSE),0)+IFERROR(VLOOKUP($B15,'IA1-Final Void inc Ramps'!$A$11:$BN$18,MATCH(Summary!BB$1,'IA1-Final Void inc Ramps'!$A$9:$BN$9,1),FALSE),0)</f>
        <v>65.300000000000011</v>
      </c>
      <c r="BC15" s="47">
        <f>IFERROR(VLOOKUP($B15,'RA1- Elevated Dumps Upper'!$A$11:$BN$18,MATCH(Summary!BC$1,'RA1- Elevated Dumps Upper'!$A$9:$BN$9,1),FALSE),0)+IFERROR(VLOOKUP($B15,'RA2-Elevated Dumps Slopes'!$A$11:$BN$18,MATCH(Summary!BC$1,'RA2-Elevated Dumps Slopes'!$A$9:$BN$9,1),FALSE),0)+IFERROR(VLOOKUP($B15,'RA3-Backfilled Pits'!$A$11:$BN$18,MATCH(Summary!BC$1,'RA3-Backfilled Pits'!$A$9:$BN$9,1),FALSE),0)+IFERROR(VLOOKUP($B15,'RA4-Tracks_Roads'!$A$11:$BN$18,MATCH(Summary!BC$1,'RA4-Tracks_Roads'!$A$9:$BN$9,1),FALSE),0)+IFERROR(VLOOKUP($B15,'RA5-ROM'!$A$11:$BN$18,MATCH(Summary!BC$1,'RA5-ROM'!$A$9:$BN$9,1),FALSE),0)+IFERROR(VLOOKUP($B15,'RA6-CHPP'!$A$11:$BN$18,MATCH(Summary!BC$1,'RA6-CHPP'!$A$9:$BN$9,1),FALSE),0)+IFERROR(VLOOKUP($B15,'RA7-Mine Infrastructure Area'!$A$11:$BN$18,MATCH(Summary!BC$1,'RA7-Mine Infrastructure Area'!$A$9:$BN$9,1),FALSE),0)+IFERROR(VLOOKUP($B15,'RA8-Water Management Structures'!$A$11:$BN$18,MATCH(Summary!BC$1,'RA8-Water Management Structures'!$A$9:$BN$9,1),FALSE),0)+IFERROR(VLOOKUP($B15,'RA9-Codisposal Upper'!$A$11:$BN$18,MATCH(Summary!BC$1,'RA9-Codisposal Upper'!$A$9:$BN$9,1),FALSE),0)+IFERROR(VLOOKUP($B15,'RA10-Codisposal Slopes'!$A$11:$BN$18,MATCH(Summary!BC$1,'RA10-Codisposal Slopes'!$A$9:$BN$9,1),FALSE),0)+IFERROR(VLOOKUP($B15,'IA1-Final Void inc Ramps'!$A$11:$BN$18,MATCH(Summary!BC$1,'IA1-Final Void inc Ramps'!$A$9:$BN$9,1),FALSE),0)</f>
        <v>65.300000000000011</v>
      </c>
      <c r="BD15" s="47">
        <f>IFERROR(VLOOKUP($B15,'RA1- Elevated Dumps Upper'!$A$11:$BN$18,MATCH(Summary!BD$1,'RA1- Elevated Dumps Upper'!$A$9:$BN$9,1),FALSE),0)+IFERROR(VLOOKUP($B15,'RA2-Elevated Dumps Slopes'!$A$11:$BN$18,MATCH(Summary!BD$1,'RA2-Elevated Dumps Slopes'!$A$9:$BN$9,1),FALSE),0)+IFERROR(VLOOKUP($B15,'RA3-Backfilled Pits'!$A$11:$BN$18,MATCH(Summary!BD$1,'RA3-Backfilled Pits'!$A$9:$BN$9,1),FALSE),0)+IFERROR(VLOOKUP($B15,'RA4-Tracks_Roads'!$A$11:$BN$18,MATCH(Summary!BD$1,'RA4-Tracks_Roads'!$A$9:$BN$9,1),FALSE),0)+IFERROR(VLOOKUP($B15,'RA5-ROM'!$A$11:$BN$18,MATCH(Summary!BD$1,'RA5-ROM'!$A$9:$BN$9,1),FALSE),0)+IFERROR(VLOOKUP($B15,'RA6-CHPP'!$A$11:$BN$18,MATCH(Summary!BD$1,'RA6-CHPP'!$A$9:$BN$9,1),FALSE),0)+IFERROR(VLOOKUP($B15,'RA7-Mine Infrastructure Area'!$A$11:$BN$18,MATCH(Summary!BD$1,'RA7-Mine Infrastructure Area'!$A$9:$BN$9,1),FALSE),0)+IFERROR(VLOOKUP($B15,'RA8-Water Management Structures'!$A$11:$BN$18,MATCH(Summary!BD$1,'RA8-Water Management Structures'!$A$9:$BN$9,1),FALSE),0)+IFERROR(VLOOKUP($B15,'RA9-Codisposal Upper'!$A$11:$BN$18,MATCH(Summary!BD$1,'RA9-Codisposal Upper'!$A$9:$BN$9,1),FALSE),0)+IFERROR(VLOOKUP($B15,'RA10-Codisposal Slopes'!$A$11:$BN$18,MATCH(Summary!BD$1,'RA10-Codisposal Slopes'!$A$9:$BN$9,1),FALSE),0)+IFERROR(VLOOKUP($B15,'IA1-Final Void inc Ramps'!$A$11:$BN$18,MATCH(Summary!BD$1,'IA1-Final Void inc Ramps'!$A$9:$BN$9,1),FALSE),0)</f>
        <v>65.300000000000011</v>
      </c>
      <c r="BE15" s="47">
        <f>IFERROR(VLOOKUP($B15,'RA1- Elevated Dumps Upper'!$A$11:$BN$18,MATCH(Summary!BE$1,'RA1- Elevated Dumps Upper'!$A$9:$BN$9,1),FALSE),0)+IFERROR(VLOOKUP($B15,'RA2-Elevated Dumps Slopes'!$A$11:$BN$18,MATCH(Summary!BE$1,'RA2-Elevated Dumps Slopes'!$A$9:$BN$9,1),FALSE),0)+IFERROR(VLOOKUP($B15,'RA3-Backfilled Pits'!$A$11:$BN$18,MATCH(Summary!BE$1,'RA3-Backfilled Pits'!$A$9:$BN$9,1),FALSE),0)+IFERROR(VLOOKUP($B15,'RA4-Tracks_Roads'!$A$11:$BN$18,MATCH(Summary!BE$1,'RA4-Tracks_Roads'!$A$9:$BN$9,1),FALSE),0)+IFERROR(VLOOKUP($B15,'RA5-ROM'!$A$11:$BN$18,MATCH(Summary!BE$1,'RA5-ROM'!$A$9:$BN$9,1),FALSE),0)+IFERROR(VLOOKUP($B15,'RA6-CHPP'!$A$11:$BN$18,MATCH(Summary!BE$1,'RA6-CHPP'!$A$9:$BN$9,1),FALSE),0)+IFERROR(VLOOKUP($B15,'RA7-Mine Infrastructure Area'!$A$11:$BN$18,MATCH(Summary!BE$1,'RA7-Mine Infrastructure Area'!$A$9:$BN$9,1),FALSE),0)+IFERROR(VLOOKUP($B15,'RA8-Water Management Structures'!$A$11:$BN$18,MATCH(Summary!BE$1,'RA8-Water Management Structures'!$A$9:$BN$9,1),FALSE),0)+IFERROR(VLOOKUP($B15,'RA9-Codisposal Upper'!$A$11:$BN$18,MATCH(Summary!BE$1,'RA9-Codisposal Upper'!$A$9:$BN$9,1),FALSE),0)+IFERROR(VLOOKUP($B15,'RA10-Codisposal Slopes'!$A$11:$BN$18,MATCH(Summary!BE$1,'RA10-Codisposal Slopes'!$A$9:$BN$9,1),FALSE),0)+IFERROR(VLOOKUP($B15,'IA1-Final Void inc Ramps'!$A$11:$BN$18,MATCH(Summary!BE$1,'IA1-Final Void inc Ramps'!$A$9:$BN$9,1),FALSE),0)</f>
        <v>65.300000000000011</v>
      </c>
      <c r="BF15" s="47">
        <f>IFERROR(VLOOKUP($B15,'RA1- Elevated Dumps Upper'!$A$11:$BN$18,MATCH(Summary!BF$1,'RA1- Elevated Dumps Upper'!$A$9:$BN$9,1),FALSE),0)+IFERROR(VLOOKUP($B15,'RA2-Elevated Dumps Slopes'!$A$11:$BN$18,MATCH(Summary!BF$1,'RA2-Elevated Dumps Slopes'!$A$9:$BN$9,1),FALSE),0)+IFERROR(VLOOKUP($B15,'RA3-Backfilled Pits'!$A$11:$BN$18,MATCH(Summary!BF$1,'RA3-Backfilled Pits'!$A$9:$BN$9,1),FALSE),0)+IFERROR(VLOOKUP($B15,'RA4-Tracks_Roads'!$A$11:$BN$18,MATCH(Summary!BF$1,'RA4-Tracks_Roads'!$A$9:$BN$9,1),FALSE),0)+IFERROR(VLOOKUP($B15,'RA5-ROM'!$A$11:$BN$18,MATCH(Summary!BF$1,'RA5-ROM'!$A$9:$BN$9,1),FALSE),0)+IFERROR(VLOOKUP($B15,'RA6-CHPP'!$A$11:$BN$18,MATCH(Summary!BF$1,'RA6-CHPP'!$A$9:$BN$9,1),FALSE),0)+IFERROR(VLOOKUP($B15,'RA7-Mine Infrastructure Area'!$A$11:$BN$18,MATCH(Summary!BF$1,'RA7-Mine Infrastructure Area'!$A$9:$BN$9,1),FALSE),0)+IFERROR(VLOOKUP($B15,'RA8-Water Management Structures'!$A$11:$BN$18,MATCH(Summary!BF$1,'RA8-Water Management Structures'!$A$9:$BN$9,1),FALSE),0)+IFERROR(VLOOKUP($B15,'RA9-Codisposal Upper'!$A$11:$BN$18,MATCH(Summary!BF$1,'RA9-Codisposal Upper'!$A$9:$BN$9,1),FALSE),0)+IFERROR(VLOOKUP($B15,'RA10-Codisposal Slopes'!$A$11:$BN$18,MATCH(Summary!BF$1,'RA10-Codisposal Slopes'!$A$9:$BN$9,1),FALSE),0)+IFERROR(VLOOKUP($B15,'IA1-Final Void inc Ramps'!$A$11:$BN$18,MATCH(Summary!BF$1,'IA1-Final Void inc Ramps'!$A$9:$BN$9,1),FALSE),0)</f>
        <v>65.300000000000011</v>
      </c>
      <c r="BG15" s="47">
        <f>IFERROR(VLOOKUP($B15,'RA1- Elevated Dumps Upper'!$A$11:$BN$18,MATCH(Summary!BG$1,'RA1- Elevated Dumps Upper'!$A$9:$BN$9,1),FALSE),0)+IFERROR(VLOOKUP($B15,'RA2-Elevated Dumps Slopes'!$A$11:$BN$18,MATCH(Summary!BG$1,'RA2-Elevated Dumps Slopes'!$A$9:$BN$9,1),FALSE),0)+IFERROR(VLOOKUP($B15,'RA3-Backfilled Pits'!$A$11:$BN$18,MATCH(Summary!BG$1,'RA3-Backfilled Pits'!$A$9:$BN$9,1),FALSE),0)+IFERROR(VLOOKUP($B15,'RA4-Tracks_Roads'!$A$11:$BN$18,MATCH(Summary!BG$1,'RA4-Tracks_Roads'!$A$9:$BN$9,1),FALSE),0)+IFERROR(VLOOKUP($B15,'RA5-ROM'!$A$11:$BN$18,MATCH(Summary!BG$1,'RA5-ROM'!$A$9:$BN$9,1),FALSE),0)+IFERROR(VLOOKUP($B15,'RA6-CHPP'!$A$11:$BN$18,MATCH(Summary!BG$1,'RA6-CHPP'!$A$9:$BN$9,1),FALSE),0)+IFERROR(VLOOKUP($B15,'RA7-Mine Infrastructure Area'!$A$11:$BN$18,MATCH(Summary!BG$1,'RA7-Mine Infrastructure Area'!$A$9:$BN$9,1),FALSE),0)+IFERROR(VLOOKUP($B15,'RA8-Water Management Structures'!$A$11:$BN$18,MATCH(Summary!BG$1,'RA8-Water Management Structures'!$A$9:$BN$9,1),FALSE),0)+IFERROR(VLOOKUP($B15,'RA9-Codisposal Upper'!$A$11:$BN$18,MATCH(Summary!BG$1,'RA9-Codisposal Upper'!$A$9:$BN$9,1),FALSE),0)+IFERROR(VLOOKUP($B15,'RA10-Codisposal Slopes'!$A$11:$BN$18,MATCH(Summary!BG$1,'RA10-Codisposal Slopes'!$A$9:$BN$9,1),FALSE),0)+IFERROR(VLOOKUP($B15,'IA1-Final Void inc Ramps'!$A$11:$BN$18,MATCH(Summary!BG$1,'IA1-Final Void inc Ramps'!$A$9:$BN$9,1),FALSE),0)</f>
        <v>65.300000000000011</v>
      </c>
      <c r="BH15" s="47">
        <f>IFERROR(VLOOKUP($B15,'RA1- Elevated Dumps Upper'!$A$11:$BN$18,MATCH(Summary!BH$1,'RA1- Elevated Dumps Upper'!$A$9:$BN$9,1),FALSE),0)+IFERROR(VLOOKUP($B15,'RA2-Elevated Dumps Slopes'!$A$11:$BN$18,MATCH(Summary!BH$1,'RA2-Elevated Dumps Slopes'!$A$9:$BN$9,1),FALSE),0)+IFERROR(VLOOKUP($B15,'RA3-Backfilled Pits'!$A$11:$BN$18,MATCH(Summary!BH$1,'RA3-Backfilled Pits'!$A$9:$BN$9,1),FALSE),0)+IFERROR(VLOOKUP($B15,'RA4-Tracks_Roads'!$A$11:$BN$18,MATCH(Summary!BH$1,'RA4-Tracks_Roads'!$A$9:$BN$9,1),FALSE),0)+IFERROR(VLOOKUP($B15,'RA5-ROM'!$A$11:$BN$18,MATCH(Summary!BH$1,'RA5-ROM'!$A$9:$BN$9,1),FALSE),0)+IFERROR(VLOOKUP($B15,'RA6-CHPP'!$A$11:$BN$18,MATCH(Summary!BH$1,'RA6-CHPP'!$A$9:$BN$9,1),FALSE),0)+IFERROR(VLOOKUP($B15,'RA7-Mine Infrastructure Area'!$A$11:$BN$18,MATCH(Summary!BH$1,'RA7-Mine Infrastructure Area'!$A$9:$BN$9,1),FALSE),0)+IFERROR(VLOOKUP($B15,'RA8-Water Management Structures'!$A$11:$BN$18,MATCH(Summary!BH$1,'RA8-Water Management Structures'!$A$9:$BN$9,1),FALSE),0)+IFERROR(VLOOKUP($B15,'RA9-Codisposal Upper'!$A$11:$BN$18,MATCH(Summary!BH$1,'RA9-Codisposal Upper'!$A$9:$BN$9,1),FALSE),0)+IFERROR(VLOOKUP($B15,'RA10-Codisposal Slopes'!$A$11:$BN$18,MATCH(Summary!BH$1,'RA10-Codisposal Slopes'!$A$9:$BN$9,1),FALSE),0)+IFERROR(VLOOKUP($B15,'IA1-Final Void inc Ramps'!$A$11:$BN$18,MATCH(Summary!BH$1,'IA1-Final Void inc Ramps'!$A$9:$BN$9,1),FALSE),0)</f>
        <v>65.300000000000011</v>
      </c>
      <c r="BI15" s="47">
        <f>IFERROR(VLOOKUP($B15,'RA1- Elevated Dumps Upper'!$A$11:$BN$18,MATCH(Summary!BI$1,'RA1- Elevated Dumps Upper'!$A$9:$BN$9,1),FALSE),0)+IFERROR(VLOOKUP($B15,'RA2-Elevated Dumps Slopes'!$A$11:$BN$18,MATCH(Summary!BI$1,'RA2-Elevated Dumps Slopes'!$A$9:$BN$9,1),FALSE),0)+IFERROR(VLOOKUP($B15,'RA3-Backfilled Pits'!$A$11:$BN$18,MATCH(Summary!BI$1,'RA3-Backfilled Pits'!$A$9:$BN$9,1),FALSE),0)+IFERROR(VLOOKUP($B15,'RA4-Tracks_Roads'!$A$11:$BN$18,MATCH(Summary!BI$1,'RA4-Tracks_Roads'!$A$9:$BN$9,1),FALSE),0)+IFERROR(VLOOKUP($B15,'RA5-ROM'!$A$11:$BN$18,MATCH(Summary!BI$1,'RA5-ROM'!$A$9:$BN$9,1),FALSE),0)+IFERROR(VLOOKUP($B15,'RA6-CHPP'!$A$11:$BN$18,MATCH(Summary!BI$1,'RA6-CHPP'!$A$9:$BN$9,1),FALSE),0)+IFERROR(VLOOKUP($B15,'RA7-Mine Infrastructure Area'!$A$11:$BN$18,MATCH(Summary!BI$1,'RA7-Mine Infrastructure Area'!$A$9:$BN$9,1),FALSE),0)+IFERROR(VLOOKUP($B15,'RA8-Water Management Structures'!$A$11:$BN$18,MATCH(Summary!BI$1,'RA8-Water Management Structures'!$A$9:$BN$9,1),FALSE),0)+IFERROR(VLOOKUP($B15,'RA9-Codisposal Upper'!$A$11:$BN$18,MATCH(Summary!BI$1,'RA9-Codisposal Upper'!$A$9:$BN$9,1),FALSE),0)+IFERROR(VLOOKUP($B15,'RA10-Codisposal Slopes'!$A$11:$BN$18,MATCH(Summary!BI$1,'RA10-Codisposal Slopes'!$A$9:$BN$9,1),FALSE),0)+IFERROR(VLOOKUP($B15,'IA1-Final Void inc Ramps'!$A$11:$BN$18,MATCH(Summary!BI$1,'IA1-Final Void inc Ramps'!$A$9:$BN$9,1),FALSE),0)</f>
        <v>65.300000000000011</v>
      </c>
      <c r="BJ15" s="47">
        <f>IFERROR(VLOOKUP($B15,'RA1- Elevated Dumps Upper'!$A$11:$BN$18,MATCH(Summary!BJ$1,'RA1- Elevated Dumps Upper'!$A$9:$BN$9,1),FALSE),0)+IFERROR(VLOOKUP($B15,'RA2-Elevated Dumps Slopes'!$A$11:$BN$18,MATCH(Summary!BJ$1,'RA2-Elevated Dumps Slopes'!$A$9:$BN$9,1),FALSE),0)+IFERROR(VLOOKUP($B15,'RA3-Backfilled Pits'!$A$11:$BN$18,MATCH(Summary!BJ$1,'RA3-Backfilled Pits'!$A$9:$BN$9,1),FALSE),0)+IFERROR(VLOOKUP($B15,'RA4-Tracks_Roads'!$A$11:$BN$18,MATCH(Summary!BJ$1,'RA4-Tracks_Roads'!$A$9:$BN$9,1),FALSE),0)+IFERROR(VLOOKUP($B15,'RA5-ROM'!$A$11:$BN$18,MATCH(Summary!BJ$1,'RA5-ROM'!$A$9:$BN$9,1),FALSE),0)+IFERROR(VLOOKUP($B15,'RA6-CHPP'!$A$11:$BN$18,MATCH(Summary!BJ$1,'RA6-CHPP'!$A$9:$BN$9,1),FALSE),0)+IFERROR(VLOOKUP($B15,'RA7-Mine Infrastructure Area'!$A$11:$BN$18,MATCH(Summary!BJ$1,'RA7-Mine Infrastructure Area'!$A$9:$BN$9,1),FALSE),0)+IFERROR(VLOOKUP($B15,'RA8-Water Management Structures'!$A$11:$BN$18,MATCH(Summary!BJ$1,'RA8-Water Management Structures'!$A$9:$BN$9,1),FALSE),0)+IFERROR(VLOOKUP($B15,'RA9-Codisposal Upper'!$A$11:$BN$18,MATCH(Summary!BJ$1,'RA9-Codisposal Upper'!$A$9:$BN$9,1),FALSE),0)+IFERROR(VLOOKUP($B15,'RA10-Codisposal Slopes'!$A$11:$BN$18,MATCH(Summary!BJ$1,'RA10-Codisposal Slopes'!$A$9:$BN$9,1),FALSE),0)+IFERROR(VLOOKUP($B15,'IA1-Final Void inc Ramps'!$A$11:$BN$18,MATCH(Summary!BJ$1,'IA1-Final Void inc Ramps'!$A$9:$BN$9,1),FALSE),0)</f>
        <v>65.300000000000011</v>
      </c>
      <c r="BK15" s="47">
        <f>IFERROR(VLOOKUP($B15,'RA1- Elevated Dumps Upper'!$A$11:$BN$18,MATCH(Summary!BK$1,'RA1- Elevated Dumps Upper'!$A$9:$BN$9,1),FALSE),0)+IFERROR(VLOOKUP($B15,'RA2-Elevated Dumps Slopes'!$A$11:$BN$18,MATCH(Summary!BK$1,'RA2-Elevated Dumps Slopes'!$A$9:$BN$9,1),FALSE),0)+IFERROR(VLOOKUP($B15,'RA3-Backfilled Pits'!$A$11:$BN$18,MATCH(Summary!BK$1,'RA3-Backfilled Pits'!$A$9:$BN$9,1),FALSE),0)+IFERROR(VLOOKUP($B15,'RA4-Tracks_Roads'!$A$11:$BN$18,MATCH(Summary!BK$1,'RA4-Tracks_Roads'!$A$9:$BN$9,1),FALSE),0)+IFERROR(VLOOKUP($B15,'RA5-ROM'!$A$11:$BN$18,MATCH(Summary!BK$1,'RA5-ROM'!$A$9:$BN$9,1),FALSE),0)+IFERROR(VLOOKUP($B15,'RA6-CHPP'!$A$11:$BN$18,MATCH(Summary!BK$1,'RA6-CHPP'!$A$9:$BN$9,1),FALSE),0)+IFERROR(VLOOKUP($B15,'RA7-Mine Infrastructure Area'!$A$11:$BN$18,MATCH(Summary!BK$1,'RA7-Mine Infrastructure Area'!$A$9:$BN$9,1),FALSE),0)+IFERROR(VLOOKUP($B15,'RA8-Water Management Structures'!$A$11:$BN$18,MATCH(Summary!BK$1,'RA8-Water Management Structures'!$A$9:$BN$9,1),FALSE),0)+IFERROR(VLOOKUP($B15,'RA9-Codisposal Upper'!$A$11:$BN$18,MATCH(Summary!BK$1,'RA9-Codisposal Upper'!$A$9:$BN$9,1),FALSE),0)+IFERROR(VLOOKUP($B15,'RA10-Codisposal Slopes'!$A$11:$BN$18,MATCH(Summary!BK$1,'RA10-Codisposal Slopes'!$A$9:$BN$9,1),FALSE),0)+IFERROR(VLOOKUP($B15,'IA1-Final Void inc Ramps'!$A$11:$BN$18,MATCH(Summary!BK$1,'IA1-Final Void inc Ramps'!$A$9:$BN$9,1),FALSE),0)</f>
        <v>65.300000000000011</v>
      </c>
      <c r="BL15" s="47">
        <f>IFERROR(VLOOKUP($B15,'RA1- Elevated Dumps Upper'!$A$11:$BN$18,MATCH(Summary!BL$1,'RA1- Elevated Dumps Upper'!$A$9:$BN$9,1),FALSE),0)+IFERROR(VLOOKUP($B15,'RA2-Elevated Dumps Slopes'!$A$11:$BN$18,MATCH(Summary!BL$1,'RA2-Elevated Dumps Slopes'!$A$9:$BN$9,1),FALSE),0)+IFERROR(VLOOKUP($B15,'RA3-Backfilled Pits'!$A$11:$BN$18,MATCH(Summary!BL$1,'RA3-Backfilled Pits'!$A$9:$BN$9,1),FALSE),0)+IFERROR(VLOOKUP($B15,'RA4-Tracks_Roads'!$A$11:$BN$18,MATCH(Summary!BL$1,'RA4-Tracks_Roads'!$A$9:$BN$9,1),FALSE),0)+IFERROR(VLOOKUP($B15,'RA5-ROM'!$A$11:$BN$18,MATCH(Summary!BL$1,'RA5-ROM'!$A$9:$BN$9,1),FALSE),0)+IFERROR(VLOOKUP($B15,'RA6-CHPP'!$A$11:$BN$18,MATCH(Summary!BL$1,'RA6-CHPP'!$A$9:$BN$9,1),FALSE),0)+IFERROR(VLOOKUP($B15,'RA7-Mine Infrastructure Area'!$A$11:$BN$18,MATCH(Summary!BL$1,'RA7-Mine Infrastructure Area'!$A$9:$BN$9,1),FALSE),0)+IFERROR(VLOOKUP($B15,'RA8-Water Management Structures'!$A$11:$BN$18,MATCH(Summary!BL$1,'RA8-Water Management Structures'!$A$9:$BN$9,1),FALSE),0)+IFERROR(VLOOKUP($B15,'RA9-Codisposal Upper'!$A$11:$BN$18,MATCH(Summary!BL$1,'RA9-Codisposal Upper'!$A$9:$BN$9,1),FALSE),0)+IFERROR(VLOOKUP($B15,'RA10-Codisposal Slopes'!$A$11:$BN$18,MATCH(Summary!BL$1,'RA10-Codisposal Slopes'!$A$9:$BN$9,1),FALSE),0)+IFERROR(VLOOKUP($B15,'IA1-Final Void inc Ramps'!$A$11:$BN$18,MATCH(Summary!BL$1,'IA1-Final Void inc Ramps'!$A$9:$BN$9,1),FALSE),0)</f>
        <v>65.300000000000011</v>
      </c>
      <c r="BM15" s="47">
        <f>IFERROR(VLOOKUP($B15,'RA1- Elevated Dumps Upper'!$A$11:$BN$18,MATCH(Summary!BM$1,'RA1- Elevated Dumps Upper'!$A$9:$BN$9,1),FALSE),0)+IFERROR(VLOOKUP($B15,'RA2-Elevated Dumps Slopes'!$A$11:$BN$18,MATCH(Summary!BM$1,'RA2-Elevated Dumps Slopes'!$A$9:$BN$9,1),FALSE),0)+IFERROR(VLOOKUP($B15,'RA3-Backfilled Pits'!$A$11:$BN$18,MATCH(Summary!BM$1,'RA3-Backfilled Pits'!$A$9:$BN$9,1),FALSE),0)+IFERROR(VLOOKUP($B15,'RA4-Tracks_Roads'!$A$11:$BN$18,MATCH(Summary!BM$1,'RA4-Tracks_Roads'!$A$9:$BN$9,1),FALSE),0)+IFERROR(VLOOKUP($B15,'RA5-ROM'!$A$11:$BN$18,MATCH(Summary!BM$1,'RA5-ROM'!$A$9:$BN$9,1),FALSE),0)+IFERROR(VLOOKUP($B15,'RA6-CHPP'!$A$11:$BN$18,MATCH(Summary!BM$1,'RA6-CHPP'!$A$9:$BN$9,1),FALSE),0)+IFERROR(VLOOKUP($B15,'RA7-Mine Infrastructure Area'!$A$11:$BN$18,MATCH(Summary!BM$1,'RA7-Mine Infrastructure Area'!$A$9:$BN$9,1),FALSE),0)+IFERROR(VLOOKUP($B15,'RA8-Water Management Structures'!$A$11:$BN$18,MATCH(Summary!BM$1,'RA8-Water Management Structures'!$A$9:$BN$9,1),FALSE),0)+IFERROR(VLOOKUP($B15,'RA9-Codisposal Upper'!$A$11:$BN$18,MATCH(Summary!BM$1,'RA9-Codisposal Upper'!$A$9:$BN$9,1),FALSE),0)+IFERROR(VLOOKUP($B15,'RA10-Codisposal Slopes'!$A$11:$BN$18,MATCH(Summary!BM$1,'RA10-Codisposal Slopes'!$A$9:$BN$9,1),FALSE),0)+IFERROR(VLOOKUP($B15,'IA1-Final Void inc Ramps'!$A$11:$BN$18,MATCH(Summary!BM$1,'IA1-Final Void inc Ramps'!$A$9:$BN$9,1),FALSE),0)</f>
        <v>65.300000000000011</v>
      </c>
      <c r="BN15" s="47">
        <f>IFERROR(VLOOKUP($B15,'RA1- Elevated Dumps Upper'!$A$11:$BN$18,MATCH(Summary!BN$1,'RA1- Elevated Dumps Upper'!$A$9:$BN$9,1),FALSE),0)+IFERROR(VLOOKUP($B15,'RA2-Elevated Dumps Slopes'!$A$11:$BN$18,MATCH(Summary!BN$1,'RA2-Elevated Dumps Slopes'!$A$9:$BN$9,1),FALSE),0)+IFERROR(VLOOKUP($B15,'RA3-Backfilled Pits'!$A$11:$BN$18,MATCH(Summary!BN$1,'RA3-Backfilled Pits'!$A$9:$BN$9,1),FALSE),0)+IFERROR(VLOOKUP($B15,'RA4-Tracks_Roads'!$A$11:$BN$18,MATCH(Summary!BN$1,'RA4-Tracks_Roads'!$A$9:$BN$9,1),FALSE),0)+IFERROR(VLOOKUP($B15,'RA5-ROM'!$A$11:$BN$18,MATCH(Summary!BN$1,'RA5-ROM'!$A$9:$BN$9,1),FALSE),0)+IFERROR(VLOOKUP($B15,'RA6-CHPP'!$A$11:$BN$18,MATCH(Summary!BN$1,'RA6-CHPP'!$A$9:$BN$9,1),FALSE),0)+IFERROR(VLOOKUP($B15,'RA7-Mine Infrastructure Area'!$A$11:$BN$18,MATCH(Summary!BN$1,'RA7-Mine Infrastructure Area'!$A$9:$BN$9,1),FALSE),0)+IFERROR(VLOOKUP($B15,'RA8-Water Management Structures'!$A$11:$BN$18,MATCH(Summary!BN$1,'RA8-Water Management Structures'!$A$9:$BN$9,1),FALSE),0)+IFERROR(VLOOKUP($B15,'RA9-Codisposal Upper'!$A$11:$BN$18,MATCH(Summary!BN$1,'RA9-Codisposal Upper'!$A$9:$BN$9,1),FALSE),0)+IFERROR(VLOOKUP($B15,'RA10-Codisposal Slopes'!$A$11:$BN$18,MATCH(Summary!BN$1,'RA10-Codisposal Slopes'!$A$9:$BN$9,1),FALSE),0)+IFERROR(VLOOKUP($B15,'IA1-Final Void inc Ramps'!$A$11:$BN$18,MATCH(Summary!BN$1,'IA1-Final Void inc Ramps'!$A$9:$BN$9,1),FALSE),0)</f>
        <v>65.300000000000011</v>
      </c>
    </row>
    <row r="16" spans="1:66" x14ac:dyDescent="0.35">
      <c r="B16" t="s">
        <v>15</v>
      </c>
      <c r="D16" s="47">
        <f>IFERROR(VLOOKUP($B16,'RA1- Elevated Dumps Upper'!$A$11:$BN$18,MATCH(Summary!D$1,'RA1- Elevated Dumps Upper'!$A$9:$BN$9,1),FALSE),0)+IFERROR(VLOOKUP($B16,'RA2-Elevated Dumps Slopes'!$A$11:$BN$18,MATCH(Summary!D$1,'RA2-Elevated Dumps Slopes'!$A$9:$BN$9,1),FALSE),0)+IFERROR(VLOOKUP($B16,'RA3-Backfilled Pits'!$A$11:$BN$18,MATCH(Summary!D$1,'RA3-Backfilled Pits'!$A$9:$BN$9,1),FALSE),0)+IFERROR(VLOOKUP($B16,'RA4-Tracks_Roads'!$A$11:$BN$18,MATCH(Summary!D$1,'RA4-Tracks_Roads'!$A$9:$BN$9,1),FALSE),0)+IFERROR(VLOOKUP($B16,'RA5-ROM'!$A$11:$BN$18,MATCH(Summary!D$1,'RA5-ROM'!$A$9:$BN$9,1),FALSE),0)+IFERROR(VLOOKUP($B16,'RA6-CHPP'!$A$11:$BN$18,MATCH(Summary!D$1,'RA6-CHPP'!$A$9:$BN$9,1),FALSE),0)+IFERROR(VLOOKUP($B16,'RA7-Mine Infrastructure Area'!$A$11:$BN$18,MATCH(Summary!D$1,'RA7-Mine Infrastructure Area'!$A$9:$BN$9,1),FALSE),0)+IFERROR(VLOOKUP($B16,'RA8-Water Management Structures'!$A$11:$BN$18,MATCH(Summary!D$1,'RA8-Water Management Structures'!$A$9:$BN$9,1),FALSE),0)+IFERROR(VLOOKUP($B16,'RA9-Codisposal Upper'!$A$11:$BN$18,MATCH(Summary!D$1,'RA9-Codisposal Upper'!$A$9:$BN$9,1),FALSE),0)+IFERROR(VLOOKUP($B16,'RA10-Codisposal Slopes'!$A$11:$BN$18,MATCH(Summary!D$1,'RA10-Codisposal Slopes'!$A$9:$BN$9,1),FALSE),0)+IFERROR(VLOOKUP($B16,'IA1-Final Void inc Ramps'!$A$11:$BN$18,MATCH(Summary!D$1,'IA1-Final Void inc Ramps'!$A$9:$BN$9,1),FALSE),0)</f>
        <v>0</v>
      </c>
      <c r="E16" s="47">
        <f>IFERROR(VLOOKUP($B16,'RA1- Elevated Dumps Upper'!$A$11:$BN$18,MATCH(Summary!E$1,'RA1- Elevated Dumps Upper'!$A$9:$BN$9,1),FALSE),0)+IFERROR(VLOOKUP($B16,'RA2-Elevated Dumps Slopes'!$A$11:$BN$18,MATCH(Summary!E$1,'RA2-Elevated Dumps Slopes'!$A$9:$BN$9,1),FALSE),0)+IFERROR(VLOOKUP($B16,'RA3-Backfilled Pits'!$A$11:$BN$18,MATCH(Summary!E$1,'RA3-Backfilled Pits'!$A$9:$BN$9,1),FALSE),0)+IFERROR(VLOOKUP($B16,'RA4-Tracks_Roads'!$A$11:$BN$18,MATCH(Summary!E$1,'RA4-Tracks_Roads'!$A$9:$BN$9,1),FALSE),0)+IFERROR(VLOOKUP($B16,'RA5-ROM'!$A$11:$BN$18,MATCH(Summary!E$1,'RA5-ROM'!$A$9:$BN$9,1),FALSE),0)+IFERROR(VLOOKUP($B16,'RA6-CHPP'!$A$11:$BN$18,MATCH(Summary!E$1,'RA6-CHPP'!$A$9:$BN$9,1),FALSE),0)+IFERROR(VLOOKUP($B16,'RA7-Mine Infrastructure Area'!$A$11:$BN$18,MATCH(Summary!E$1,'RA7-Mine Infrastructure Area'!$A$9:$BN$9,1),FALSE),0)+IFERROR(VLOOKUP($B16,'RA8-Water Management Structures'!$A$11:$BN$18,MATCH(Summary!E$1,'RA8-Water Management Structures'!$A$9:$BN$9,1),FALSE),0)+IFERROR(VLOOKUP($B16,'RA9-Codisposal Upper'!$A$11:$BN$18,MATCH(Summary!E$1,'RA9-Codisposal Upper'!$A$9:$BN$9,1),FALSE),0)+IFERROR(VLOOKUP($B16,'RA10-Codisposal Slopes'!$A$11:$BN$18,MATCH(Summary!E$1,'RA10-Codisposal Slopes'!$A$9:$BN$9,1),FALSE),0)+IFERROR(VLOOKUP($B16,'IA1-Final Void inc Ramps'!$A$11:$BN$18,MATCH(Summary!E$1,'IA1-Final Void inc Ramps'!$A$9:$BN$9,1),FALSE),0)</f>
        <v>0</v>
      </c>
      <c r="F16" s="47">
        <f>IFERROR(VLOOKUP($B16,'RA1- Elevated Dumps Upper'!$A$11:$BN$18,MATCH(Summary!F$1,'RA1- Elevated Dumps Upper'!$A$9:$BN$9,1),FALSE),0)+IFERROR(VLOOKUP($B16,'RA2-Elevated Dumps Slopes'!$A$11:$BN$18,MATCH(Summary!F$1,'RA2-Elevated Dumps Slopes'!$A$9:$BN$9,1),FALSE),0)+IFERROR(VLOOKUP($B16,'RA3-Backfilled Pits'!$A$11:$BN$18,MATCH(Summary!F$1,'RA3-Backfilled Pits'!$A$9:$BN$9,1),FALSE),0)+IFERROR(VLOOKUP($B16,'RA4-Tracks_Roads'!$A$11:$BN$18,MATCH(Summary!F$1,'RA4-Tracks_Roads'!$A$9:$BN$9,1),FALSE),0)+IFERROR(VLOOKUP($B16,'RA5-ROM'!$A$11:$BN$18,MATCH(Summary!F$1,'RA5-ROM'!$A$9:$BN$9,1),FALSE),0)+IFERROR(VLOOKUP($B16,'RA6-CHPP'!$A$11:$BN$18,MATCH(Summary!F$1,'RA6-CHPP'!$A$9:$BN$9,1),FALSE),0)+IFERROR(VLOOKUP($B16,'RA7-Mine Infrastructure Area'!$A$11:$BN$18,MATCH(Summary!F$1,'RA7-Mine Infrastructure Area'!$A$9:$BN$9,1),FALSE),0)+IFERROR(VLOOKUP($B16,'RA8-Water Management Structures'!$A$11:$BN$18,MATCH(Summary!F$1,'RA8-Water Management Structures'!$A$9:$BN$9,1),FALSE),0)+IFERROR(VLOOKUP($B16,'RA9-Codisposal Upper'!$A$11:$BN$18,MATCH(Summary!F$1,'RA9-Codisposal Upper'!$A$9:$BN$9,1),FALSE),0)+IFERROR(VLOOKUP($B16,'RA10-Codisposal Slopes'!$A$11:$BN$18,MATCH(Summary!F$1,'RA10-Codisposal Slopes'!$A$9:$BN$9,1),FALSE),0)+IFERROR(VLOOKUP($B16,'IA1-Final Void inc Ramps'!$A$11:$BN$18,MATCH(Summary!F$1,'IA1-Final Void inc Ramps'!$A$9:$BN$9,1),FALSE),0)</f>
        <v>0</v>
      </c>
      <c r="G16" s="47">
        <f>IFERROR(VLOOKUP($B16,'RA1- Elevated Dumps Upper'!$A$11:$BN$18,MATCH(Summary!G$1,'RA1- Elevated Dumps Upper'!$A$9:$BN$9,1),FALSE),0)+IFERROR(VLOOKUP($B16,'RA2-Elevated Dumps Slopes'!$A$11:$BN$18,MATCH(Summary!G$1,'RA2-Elevated Dumps Slopes'!$A$9:$BN$9,1),FALSE),0)+IFERROR(VLOOKUP($B16,'RA3-Backfilled Pits'!$A$11:$BN$18,MATCH(Summary!G$1,'RA3-Backfilled Pits'!$A$9:$BN$9,1),FALSE),0)+IFERROR(VLOOKUP($B16,'RA4-Tracks_Roads'!$A$11:$BN$18,MATCH(Summary!G$1,'RA4-Tracks_Roads'!$A$9:$BN$9,1),FALSE),0)+IFERROR(VLOOKUP($B16,'RA5-ROM'!$A$11:$BN$18,MATCH(Summary!G$1,'RA5-ROM'!$A$9:$BN$9,1),FALSE),0)+IFERROR(VLOOKUP($B16,'RA6-CHPP'!$A$11:$BN$18,MATCH(Summary!G$1,'RA6-CHPP'!$A$9:$BN$9,1),FALSE),0)+IFERROR(VLOOKUP($B16,'RA7-Mine Infrastructure Area'!$A$11:$BN$18,MATCH(Summary!G$1,'RA7-Mine Infrastructure Area'!$A$9:$BN$9,1),FALSE),0)+IFERROR(VLOOKUP($B16,'RA8-Water Management Structures'!$A$11:$BN$18,MATCH(Summary!G$1,'RA8-Water Management Structures'!$A$9:$BN$9,1),FALSE),0)+IFERROR(VLOOKUP($B16,'RA9-Codisposal Upper'!$A$11:$BN$18,MATCH(Summary!G$1,'RA9-Codisposal Upper'!$A$9:$BN$9,1),FALSE),0)+IFERROR(VLOOKUP($B16,'RA10-Codisposal Slopes'!$A$11:$BN$18,MATCH(Summary!G$1,'RA10-Codisposal Slopes'!$A$9:$BN$9,1),FALSE),0)+IFERROR(VLOOKUP($B16,'IA1-Final Void inc Ramps'!$A$11:$BN$18,MATCH(Summary!G$1,'IA1-Final Void inc Ramps'!$A$9:$BN$9,1),FALSE),0)</f>
        <v>0</v>
      </c>
      <c r="H16" s="47">
        <f>IFERROR(VLOOKUP($B16,'RA1- Elevated Dumps Upper'!$A$11:$BN$18,MATCH(Summary!H$1,'RA1- Elevated Dumps Upper'!$A$9:$BN$9,1),FALSE),0)+IFERROR(VLOOKUP($B16,'RA2-Elevated Dumps Slopes'!$A$11:$BN$18,MATCH(Summary!H$1,'RA2-Elevated Dumps Slopes'!$A$9:$BN$9,1),FALSE),0)+IFERROR(VLOOKUP($B16,'RA3-Backfilled Pits'!$A$11:$BN$18,MATCH(Summary!H$1,'RA3-Backfilled Pits'!$A$9:$BN$9,1),FALSE),0)+IFERROR(VLOOKUP($B16,'RA4-Tracks_Roads'!$A$11:$BN$18,MATCH(Summary!H$1,'RA4-Tracks_Roads'!$A$9:$BN$9,1),FALSE),0)+IFERROR(VLOOKUP($B16,'RA5-ROM'!$A$11:$BN$18,MATCH(Summary!H$1,'RA5-ROM'!$A$9:$BN$9,1),FALSE),0)+IFERROR(VLOOKUP($B16,'RA6-CHPP'!$A$11:$BN$18,MATCH(Summary!H$1,'RA6-CHPP'!$A$9:$BN$9,1),FALSE),0)+IFERROR(VLOOKUP($B16,'RA7-Mine Infrastructure Area'!$A$11:$BN$18,MATCH(Summary!H$1,'RA7-Mine Infrastructure Area'!$A$9:$BN$9,1),FALSE),0)+IFERROR(VLOOKUP($B16,'RA8-Water Management Structures'!$A$11:$BN$18,MATCH(Summary!H$1,'RA8-Water Management Structures'!$A$9:$BN$9,1),FALSE),0)+IFERROR(VLOOKUP($B16,'RA9-Codisposal Upper'!$A$11:$BN$18,MATCH(Summary!H$1,'RA9-Codisposal Upper'!$A$9:$BN$9,1),FALSE),0)+IFERROR(VLOOKUP($B16,'RA10-Codisposal Slopes'!$A$11:$BN$18,MATCH(Summary!H$1,'RA10-Codisposal Slopes'!$A$9:$BN$9,1),FALSE),0)+IFERROR(VLOOKUP($B16,'IA1-Final Void inc Ramps'!$A$11:$BN$18,MATCH(Summary!H$1,'IA1-Final Void inc Ramps'!$A$9:$BN$9,1),FALSE),0)</f>
        <v>0</v>
      </c>
      <c r="I16" s="47">
        <f>IFERROR(VLOOKUP($B16,'RA1- Elevated Dumps Upper'!$A$11:$BN$18,MATCH(Summary!I$1,'RA1- Elevated Dumps Upper'!$A$9:$BN$9,1),FALSE),0)+IFERROR(VLOOKUP($B16,'RA2-Elevated Dumps Slopes'!$A$11:$BN$18,MATCH(Summary!I$1,'RA2-Elevated Dumps Slopes'!$A$9:$BN$9,1),FALSE),0)+IFERROR(VLOOKUP($B16,'RA3-Backfilled Pits'!$A$11:$BN$18,MATCH(Summary!I$1,'RA3-Backfilled Pits'!$A$9:$BN$9,1),FALSE),0)+IFERROR(VLOOKUP($B16,'RA4-Tracks_Roads'!$A$11:$BN$18,MATCH(Summary!I$1,'RA4-Tracks_Roads'!$A$9:$BN$9,1),FALSE),0)+IFERROR(VLOOKUP($B16,'RA5-ROM'!$A$11:$BN$18,MATCH(Summary!I$1,'RA5-ROM'!$A$9:$BN$9,1),FALSE),0)+IFERROR(VLOOKUP($B16,'RA6-CHPP'!$A$11:$BN$18,MATCH(Summary!I$1,'RA6-CHPP'!$A$9:$BN$9,1),FALSE),0)+IFERROR(VLOOKUP($B16,'RA7-Mine Infrastructure Area'!$A$11:$BN$18,MATCH(Summary!I$1,'RA7-Mine Infrastructure Area'!$A$9:$BN$9,1),FALSE),0)+IFERROR(VLOOKUP($B16,'RA8-Water Management Structures'!$A$11:$BN$18,MATCH(Summary!I$1,'RA8-Water Management Structures'!$A$9:$BN$9,1),FALSE),0)+IFERROR(VLOOKUP($B16,'RA9-Codisposal Upper'!$A$11:$BN$18,MATCH(Summary!I$1,'RA9-Codisposal Upper'!$A$9:$BN$9,1),FALSE),0)+IFERROR(VLOOKUP($B16,'RA10-Codisposal Slopes'!$A$11:$BN$18,MATCH(Summary!I$1,'RA10-Codisposal Slopes'!$A$9:$BN$9,1),FALSE),0)+IFERROR(VLOOKUP($B16,'IA1-Final Void inc Ramps'!$A$11:$BN$18,MATCH(Summary!I$1,'IA1-Final Void inc Ramps'!$A$9:$BN$9,1),FALSE),0)</f>
        <v>0</v>
      </c>
      <c r="J16" s="47">
        <f>IFERROR(VLOOKUP($B16,'RA1- Elevated Dumps Upper'!$A$11:$BN$18,MATCH(Summary!J$1,'RA1- Elevated Dumps Upper'!$A$9:$BN$9,1),FALSE),0)+IFERROR(VLOOKUP($B16,'RA2-Elevated Dumps Slopes'!$A$11:$BN$18,MATCH(Summary!J$1,'RA2-Elevated Dumps Slopes'!$A$9:$BN$9,1),FALSE),0)+IFERROR(VLOOKUP($B16,'RA3-Backfilled Pits'!$A$11:$BN$18,MATCH(Summary!J$1,'RA3-Backfilled Pits'!$A$9:$BN$9,1),FALSE),0)+IFERROR(VLOOKUP($B16,'RA4-Tracks_Roads'!$A$11:$BN$18,MATCH(Summary!J$1,'RA4-Tracks_Roads'!$A$9:$BN$9,1),FALSE),0)+IFERROR(VLOOKUP($B16,'RA5-ROM'!$A$11:$BN$18,MATCH(Summary!J$1,'RA5-ROM'!$A$9:$BN$9,1),FALSE),0)+IFERROR(VLOOKUP($B16,'RA6-CHPP'!$A$11:$BN$18,MATCH(Summary!J$1,'RA6-CHPP'!$A$9:$BN$9,1),FALSE),0)+IFERROR(VLOOKUP($B16,'RA7-Mine Infrastructure Area'!$A$11:$BN$18,MATCH(Summary!J$1,'RA7-Mine Infrastructure Area'!$A$9:$BN$9,1),FALSE),0)+IFERROR(VLOOKUP($B16,'RA8-Water Management Structures'!$A$11:$BN$18,MATCH(Summary!J$1,'RA8-Water Management Structures'!$A$9:$BN$9,1),FALSE),0)+IFERROR(VLOOKUP($B16,'RA9-Codisposal Upper'!$A$11:$BN$18,MATCH(Summary!J$1,'RA9-Codisposal Upper'!$A$9:$BN$9,1),FALSE),0)+IFERROR(VLOOKUP($B16,'RA10-Codisposal Slopes'!$A$11:$BN$18,MATCH(Summary!J$1,'RA10-Codisposal Slopes'!$A$9:$BN$9,1),FALSE),0)+IFERROR(VLOOKUP($B16,'IA1-Final Void inc Ramps'!$A$11:$BN$18,MATCH(Summary!J$1,'IA1-Final Void inc Ramps'!$A$9:$BN$9,1),FALSE),0)</f>
        <v>0</v>
      </c>
      <c r="K16" s="47">
        <f>IFERROR(VLOOKUP($B16,'RA1- Elevated Dumps Upper'!$A$11:$BN$18,MATCH(Summary!K$1,'RA1- Elevated Dumps Upper'!$A$9:$BN$9,1),FALSE),0)+IFERROR(VLOOKUP($B16,'RA2-Elevated Dumps Slopes'!$A$11:$BN$18,MATCH(Summary!K$1,'RA2-Elevated Dumps Slopes'!$A$9:$BN$9,1),FALSE),0)+IFERROR(VLOOKUP($B16,'RA3-Backfilled Pits'!$A$11:$BN$18,MATCH(Summary!K$1,'RA3-Backfilled Pits'!$A$9:$BN$9,1),FALSE),0)+IFERROR(VLOOKUP($B16,'RA4-Tracks_Roads'!$A$11:$BN$18,MATCH(Summary!K$1,'RA4-Tracks_Roads'!$A$9:$BN$9,1),FALSE),0)+IFERROR(VLOOKUP($B16,'RA5-ROM'!$A$11:$BN$18,MATCH(Summary!K$1,'RA5-ROM'!$A$9:$BN$9,1),FALSE),0)+IFERROR(VLOOKUP($B16,'RA6-CHPP'!$A$11:$BN$18,MATCH(Summary!K$1,'RA6-CHPP'!$A$9:$BN$9,1),FALSE),0)+IFERROR(VLOOKUP($B16,'RA7-Mine Infrastructure Area'!$A$11:$BN$18,MATCH(Summary!K$1,'RA7-Mine Infrastructure Area'!$A$9:$BN$9,1),FALSE),0)+IFERROR(VLOOKUP($B16,'RA8-Water Management Structures'!$A$11:$BN$18,MATCH(Summary!K$1,'RA8-Water Management Structures'!$A$9:$BN$9,1),FALSE),0)+IFERROR(VLOOKUP($B16,'RA9-Codisposal Upper'!$A$11:$BN$18,MATCH(Summary!K$1,'RA9-Codisposal Upper'!$A$9:$BN$9,1),FALSE),0)+IFERROR(VLOOKUP($B16,'RA10-Codisposal Slopes'!$A$11:$BN$18,MATCH(Summary!K$1,'RA10-Codisposal Slopes'!$A$9:$BN$9,1),FALSE),0)+IFERROR(VLOOKUP($B16,'IA1-Final Void inc Ramps'!$A$11:$BN$18,MATCH(Summary!K$1,'IA1-Final Void inc Ramps'!$A$9:$BN$9,1),FALSE),0)</f>
        <v>33.869</v>
      </c>
      <c r="L16" s="47">
        <f>IFERROR(VLOOKUP($B16,'RA1- Elevated Dumps Upper'!$A$11:$BN$18,MATCH(Summary!L$1,'RA1- Elevated Dumps Upper'!$A$9:$BN$9,1),FALSE),0)+IFERROR(VLOOKUP($B16,'RA2-Elevated Dumps Slopes'!$A$11:$BN$18,MATCH(Summary!L$1,'RA2-Elevated Dumps Slopes'!$A$9:$BN$9,1),FALSE),0)+IFERROR(VLOOKUP($B16,'RA3-Backfilled Pits'!$A$11:$BN$18,MATCH(Summary!L$1,'RA3-Backfilled Pits'!$A$9:$BN$9,1),FALSE),0)+IFERROR(VLOOKUP($B16,'RA4-Tracks_Roads'!$A$11:$BN$18,MATCH(Summary!L$1,'RA4-Tracks_Roads'!$A$9:$BN$9,1),FALSE),0)+IFERROR(VLOOKUP($B16,'RA5-ROM'!$A$11:$BN$18,MATCH(Summary!L$1,'RA5-ROM'!$A$9:$BN$9,1),FALSE),0)+IFERROR(VLOOKUP($B16,'RA6-CHPP'!$A$11:$BN$18,MATCH(Summary!L$1,'RA6-CHPP'!$A$9:$BN$9,1),FALSE),0)+IFERROR(VLOOKUP($B16,'RA7-Mine Infrastructure Area'!$A$11:$BN$18,MATCH(Summary!L$1,'RA7-Mine Infrastructure Area'!$A$9:$BN$9,1),FALSE),0)+IFERROR(VLOOKUP($B16,'RA8-Water Management Structures'!$A$11:$BN$18,MATCH(Summary!L$1,'RA8-Water Management Structures'!$A$9:$BN$9,1),FALSE),0)+IFERROR(VLOOKUP($B16,'RA9-Codisposal Upper'!$A$11:$BN$18,MATCH(Summary!L$1,'RA9-Codisposal Upper'!$A$9:$BN$9,1),FALSE),0)+IFERROR(VLOOKUP($B16,'RA10-Codisposal Slopes'!$A$11:$BN$18,MATCH(Summary!L$1,'RA10-Codisposal Slopes'!$A$9:$BN$9,1),FALSE),0)+IFERROR(VLOOKUP($B16,'IA1-Final Void inc Ramps'!$A$11:$BN$18,MATCH(Summary!L$1,'IA1-Final Void inc Ramps'!$A$9:$BN$9,1),FALSE),0)</f>
        <v>78.697000000000003</v>
      </c>
      <c r="M16" s="47">
        <f>IFERROR(VLOOKUP($B16,'RA1- Elevated Dumps Upper'!$A$11:$BN$18,MATCH(Summary!M$1,'RA1- Elevated Dumps Upper'!$A$9:$BN$9,1),FALSE),0)+IFERROR(VLOOKUP($B16,'RA2-Elevated Dumps Slopes'!$A$11:$BN$18,MATCH(Summary!M$1,'RA2-Elevated Dumps Slopes'!$A$9:$BN$9,1),FALSE),0)+IFERROR(VLOOKUP($B16,'RA3-Backfilled Pits'!$A$11:$BN$18,MATCH(Summary!M$1,'RA3-Backfilled Pits'!$A$9:$BN$9,1),FALSE),0)+IFERROR(VLOOKUP($B16,'RA4-Tracks_Roads'!$A$11:$BN$18,MATCH(Summary!M$1,'RA4-Tracks_Roads'!$A$9:$BN$9,1),FALSE),0)+IFERROR(VLOOKUP($B16,'RA5-ROM'!$A$11:$BN$18,MATCH(Summary!M$1,'RA5-ROM'!$A$9:$BN$9,1),FALSE),0)+IFERROR(VLOOKUP($B16,'RA6-CHPP'!$A$11:$BN$18,MATCH(Summary!M$1,'RA6-CHPP'!$A$9:$BN$9,1),FALSE),0)+IFERROR(VLOOKUP($B16,'RA7-Mine Infrastructure Area'!$A$11:$BN$18,MATCH(Summary!M$1,'RA7-Mine Infrastructure Area'!$A$9:$BN$9,1),FALSE),0)+IFERROR(VLOOKUP($B16,'RA8-Water Management Structures'!$A$11:$BN$18,MATCH(Summary!M$1,'RA8-Water Management Structures'!$A$9:$BN$9,1),FALSE),0)+IFERROR(VLOOKUP($B16,'RA9-Codisposal Upper'!$A$11:$BN$18,MATCH(Summary!M$1,'RA9-Codisposal Upper'!$A$9:$BN$9,1),FALSE),0)+IFERROR(VLOOKUP($B16,'RA10-Codisposal Slopes'!$A$11:$BN$18,MATCH(Summary!M$1,'RA10-Codisposal Slopes'!$A$9:$BN$9,1),FALSE),0)+IFERROR(VLOOKUP($B16,'IA1-Final Void inc Ramps'!$A$11:$BN$18,MATCH(Summary!M$1,'IA1-Final Void inc Ramps'!$A$9:$BN$9,1),FALSE),0)</f>
        <v>129.40700000000001</v>
      </c>
      <c r="N16" s="47">
        <f>IFERROR(VLOOKUP($B16,'RA1- Elevated Dumps Upper'!$A$11:$BN$18,MATCH(Summary!N$1,'RA1- Elevated Dumps Upper'!$A$9:$BN$9,1),FALSE),0)+IFERROR(VLOOKUP($B16,'RA2-Elevated Dumps Slopes'!$A$11:$BN$18,MATCH(Summary!N$1,'RA2-Elevated Dumps Slopes'!$A$9:$BN$9,1),FALSE),0)+IFERROR(VLOOKUP($B16,'RA3-Backfilled Pits'!$A$11:$BN$18,MATCH(Summary!N$1,'RA3-Backfilled Pits'!$A$9:$BN$9,1),FALSE),0)+IFERROR(VLOOKUP($B16,'RA4-Tracks_Roads'!$A$11:$BN$18,MATCH(Summary!N$1,'RA4-Tracks_Roads'!$A$9:$BN$9,1),FALSE),0)+IFERROR(VLOOKUP($B16,'RA5-ROM'!$A$11:$BN$18,MATCH(Summary!N$1,'RA5-ROM'!$A$9:$BN$9,1),FALSE),0)+IFERROR(VLOOKUP($B16,'RA6-CHPP'!$A$11:$BN$18,MATCH(Summary!N$1,'RA6-CHPP'!$A$9:$BN$9,1),FALSE),0)+IFERROR(VLOOKUP($B16,'RA7-Mine Infrastructure Area'!$A$11:$BN$18,MATCH(Summary!N$1,'RA7-Mine Infrastructure Area'!$A$9:$BN$9,1),FALSE),0)+IFERROR(VLOOKUP($B16,'RA8-Water Management Structures'!$A$11:$BN$18,MATCH(Summary!N$1,'RA8-Water Management Structures'!$A$9:$BN$9,1),FALSE),0)+IFERROR(VLOOKUP($B16,'RA9-Codisposal Upper'!$A$11:$BN$18,MATCH(Summary!N$1,'RA9-Codisposal Upper'!$A$9:$BN$9,1),FALSE),0)+IFERROR(VLOOKUP($B16,'RA10-Codisposal Slopes'!$A$11:$BN$18,MATCH(Summary!N$1,'RA10-Codisposal Slopes'!$A$9:$BN$9,1),FALSE),0)+IFERROR(VLOOKUP($B16,'IA1-Final Void inc Ramps'!$A$11:$BN$18,MATCH(Summary!N$1,'IA1-Final Void inc Ramps'!$A$9:$BN$9,1),FALSE),0)</f>
        <v>241.43900000000002</v>
      </c>
      <c r="O16" s="47">
        <f>IFERROR(VLOOKUP($B16,'RA1- Elevated Dumps Upper'!$A$11:$BN$18,MATCH(Summary!O$1,'RA1- Elevated Dumps Upper'!$A$9:$BN$9,1),FALSE),0)+IFERROR(VLOOKUP($B16,'RA2-Elevated Dumps Slopes'!$A$11:$BN$18,MATCH(Summary!O$1,'RA2-Elevated Dumps Slopes'!$A$9:$BN$9,1),FALSE),0)+IFERROR(VLOOKUP($B16,'RA3-Backfilled Pits'!$A$11:$BN$18,MATCH(Summary!O$1,'RA3-Backfilled Pits'!$A$9:$BN$9,1),FALSE),0)+IFERROR(VLOOKUP($B16,'RA4-Tracks_Roads'!$A$11:$BN$18,MATCH(Summary!O$1,'RA4-Tracks_Roads'!$A$9:$BN$9,1),FALSE),0)+IFERROR(VLOOKUP($B16,'RA5-ROM'!$A$11:$BN$18,MATCH(Summary!O$1,'RA5-ROM'!$A$9:$BN$9,1),FALSE),0)+IFERROR(VLOOKUP($B16,'RA6-CHPP'!$A$11:$BN$18,MATCH(Summary!O$1,'RA6-CHPP'!$A$9:$BN$9,1),FALSE),0)+IFERROR(VLOOKUP($B16,'RA7-Mine Infrastructure Area'!$A$11:$BN$18,MATCH(Summary!O$1,'RA7-Mine Infrastructure Area'!$A$9:$BN$9,1),FALSE),0)+IFERROR(VLOOKUP($B16,'RA8-Water Management Structures'!$A$11:$BN$18,MATCH(Summary!O$1,'RA8-Water Management Structures'!$A$9:$BN$9,1),FALSE),0)+IFERROR(VLOOKUP($B16,'RA9-Codisposal Upper'!$A$11:$BN$18,MATCH(Summary!O$1,'RA9-Codisposal Upper'!$A$9:$BN$9,1),FALSE),0)+IFERROR(VLOOKUP($B16,'RA10-Codisposal Slopes'!$A$11:$BN$18,MATCH(Summary!O$1,'RA10-Codisposal Slopes'!$A$9:$BN$9,1),FALSE),0)+IFERROR(VLOOKUP($B16,'IA1-Final Void inc Ramps'!$A$11:$BN$18,MATCH(Summary!O$1,'IA1-Final Void inc Ramps'!$A$9:$BN$9,1),FALSE),0)</f>
        <v>433.27699999999999</v>
      </c>
      <c r="P16" s="47">
        <f>IFERROR(VLOOKUP($B16,'RA1- Elevated Dumps Upper'!$A$11:$BN$18,MATCH(Summary!P$1,'RA1- Elevated Dumps Upper'!$A$9:$BN$9,1),FALSE),0)+IFERROR(VLOOKUP($B16,'RA2-Elevated Dumps Slopes'!$A$11:$BN$18,MATCH(Summary!P$1,'RA2-Elevated Dumps Slopes'!$A$9:$BN$9,1),FALSE),0)+IFERROR(VLOOKUP($B16,'RA3-Backfilled Pits'!$A$11:$BN$18,MATCH(Summary!P$1,'RA3-Backfilled Pits'!$A$9:$BN$9,1),FALSE),0)+IFERROR(VLOOKUP($B16,'RA4-Tracks_Roads'!$A$11:$BN$18,MATCH(Summary!P$1,'RA4-Tracks_Roads'!$A$9:$BN$9,1),FALSE),0)+IFERROR(VLOOKUP($B16,'RA5-ROM'!$A$11:$BN$18,MATCH(Summary!P$1,'RA5-ROM'!$A$9:$BN$9,1),FALSE),0)+IFERROR(VLOOKUP($B16,'RA6-CHPP'!$A$11:$BN$18,MATCH(Summary!P$1,'RA6-CHPP'!$A$9:$BN$9,1),FALSE),0)+IFERROR(VLOOKUP($B16,'RA7-Mine Infrastructure Area'!$A$11:$BN$18,MATCH(Summary!P$1,'RA7-Mine Infrastructure Area'!$A$9:$BN$9,1),FALSE),0)+IFERROR(VLOOKUP($B16,'RA8-Water Management Structures'!$A$11:$BN$18,MATCH(Summary!P$1,'RA8-Water Management Structures'!$A$9:$BN$9,1),FALSE),0)+IFERROR(VLOOKUP($B16,'RA9-Codisposal Upper'!$A$11:$BN$18,MATCH(Summary!P$1,'RA9-Codisposal Upper'!$A$9:$BN$9,1),FALSE),0)+IFERROR(VLOOKUP($B16,'RA10-Codisposal Slopes'!$A$11:$BN$18,MATCH(Summary!P$1,'RA10-Codisposal Slopes'!$A$9:$BN$9,1),FALSE),0)+IFERROR(VLOOKUP($B16,'IA1-Final Void inc Ramps'!$A$11:$BN$18,MATCH(Summary!P$1,'IA1-Final Void inc Ramps'!$A$9:$BN$9,1),FALSE),0)</f>
        <v>509.03999999999996</v>
      </c>
      <c r="Q16" s="47">
        <f>IFERROR(VLOOKUP($B16,'RA1- Elevated Dumps Upper'!$A$11:$BN$18,MATCH(Summary!Q$1,'RA1- Elevated Dumps Upper'!$A$9:$BN$9,1),FALSE),0)+IFERROR(VLOOKUP($B16,'RA2-Elevated Dumps Slopes'!$A$11:$BN$18,MATCH(Summary!Q$1,'RA2-Elevated Dumps Slopes'!$A$9:$BN$9,1),FALSE),0)+IFERROR(VLOOKUP($B16,'RA3-Backfilled Pits'!$A$11:$BN$18,MATCH(Summary!Q$1,'RA3-Backfilled Pits'!$A$9:$BN$9,1),FALSE),0)+IFERROR(VLOOKUP($B16,'RA4-Tracks_Roads'!$A$11:$BN$18,MATCH(Summary!Q$1,'RA4-Tracks_Roads'!$A$9:$BN$9,1),FALSE),0)+IFERROR(VLOOKUP($B16,'RA5-ROM'!$A$11:$BN$18,MATCH(Summary!Q$1,'RA5-ROM'!$A$9:$BN$9,1),FALSE),0)+IFERROR(VLOOKUP($B16,'RA6-CHPP'!$A$11:$BN$18,MATCH(Summary!Q$1,'RA6-CHPP'!$A$9:$BN$9,1),FALSE),0)+IFERROR(VLOOKUP($B16,'RA7-Mine Infrastructure Area'!$A$11:$BN$18,MATCH(Summary!Q$1,'RA7-Mine Infrastructure Area'!$A$9:$BN$9,1),FALSE),0)+IFERROR(VLOOKUP($B16,'RA8-Water Management Structures'!$A$11:$BN$18,MATCH(Summary!Q$1,'RA8-Water Management Structures'!$A$9:$BN$9,1),FALSE),0)+IFERROR(VLOOKUP($B16,'RA9-Codisposal Upper'!$A$11:$BN$18,MATCH(Summary!Q$1,'RA9-Codisposal Upper'!$A$9:$BN$9,1),FALSE),0)+IFERROR(VLOOKUP($B16,'RA10-Codisposal Slopes'!$A$11:$BN$18,MATCH(Summary!Q$1,'RA10-Codisposal Slopes'!$A$9:$BN$9,1),FALSE),0)+IFERROR(VLOOKUP($B16,'IA1-Final Void inc Ramps'!$A$11:$BN$18,MATCH(Summary!Q$1,'IA1-Final Void inc Ramps'!$A$9:$BN$9,1),FALSE),0)</f>
        <v>543.51400000000001</v>
      </c>
      <c r="R16" s="47">
        <f>IFERROR(VLOOKUP($B16,'RA1- Elevated Dumps Upper'!$A$11:$BN$18,MATCH(Summary!R$1,'RA1- Elevated Dumps Upper'!$A$9:$BN$9,1),FALSE),0)+IFERROR(VLOOKUP($B16,'RA2-Elevated Dumps Slopes'!$A$11:$BN$18,MATCH(Summary!R$1,'RA2-Elevated Dumps Slopes'!$A$9:$BN$9,1),FALSE),0)+IFERROR(VLOOKUP($B16,'RA3-Backfilled Pits'!$A$11:$BN$18,MATCH(Summary!R$1,'RA3-Backfilled Pits'!$A$9:$BN$9,1),FALSE),0)+IFERROR(VLOOKUP($B16,'RA4-Tracks_Roads'!$A$11:$BN$18,MATCH(Summary!R$1,'RA4-Tracks_Roads'!$A$9:$BN$9,1),FALSE),0)+IFERROR(VLOOKUP($B16,'RA5-ROM'!$A$11:$BN$18,MATCH(Summary!R$1,'RA5-ROM'!$A$9:$BN$9,1),FALSE),0)+IFERROR(VLOOKUP($B16,'RA6-CHPP'!$A$11:$BN$18,MATCH(Summary!R$1,'RA6-CHPP'!$A$9:$BN$9,1),FALSE),0)+IFERROR(VLOOKUP($B16,'RA7-Mine Infrastructure Area'!$A$11:$BN$18,MATCH(Summary!R$1,'RA7-Mine Infrastructure Area'!$A$9:$BN$9,1),FALSE),0)+IFERROR(VLOOKUP($B16,'RA8-Water Management Structures'!$A$11:$BN$18,MATCH(Summary!R$1,'RA8-Water Management Structures'!$A$9:$BN$9,1),FALSE),0)+IFERROR(VLOOKUP($B16,'RA9-Codisposal Upper'!$A$11:$BN$18,MATCH(Summary!R$1,'RA9-Codisposal Upper'!$A$9:$BN$9,1),FALSE),0)+IFERROR(VLOOKUP($B16,'RA10-Codisposal Slopes'!$A$11:$BN$18,MATCH(Summary!R$1,'RA10-Codisposal Slopes'!$A$9:$BN$9,1),FALSE),0)+IFERROR(VLOOKUP($B16,'IA1-Final Void inc Ramps'!$A$11:$BN$18,MATCH(Summary!R$1,'IA1-Final Void inc Ramps'!$A$9:$BN$9,1),FALSE),0)</f>
        <v>601.03399999999999</v>
      </c>
      <c r="S16" s="47">
        <f>IFERROR(VLOOKUP($B16,'RA1- Elevated Dumps Upper'!$A$11:$BN$18,MATCH(Summary!S$1,'RA1- Elevated Dumps Upper'!$A$9:$BN$9,1),FALSE),0)+IFERROR(VLOOKUP($B16,'RA2-Elevated Dumps Slopes'!$A$11:$BN$18,MATCH(Summary!S$1,'RA2-Elevated Dumps Slopes'!$A$9:$BN$9,1),FALSE),0)+IFERROR(VLOOKUP($B16,'RA3-Backfilled Pits'!$A$11:$BN$18,MATCH(Summary!S$1,'RA3-Backfilled Pits'!$A$9:$BN$9,1),FALSE),0)+IFERROR(VLOOKUP($B16,'RA4-Tracks_Roads'!$A$11:$BN$18,MATCH(Summary!S$1,'RA4-Tracks_Roads'!$A$9:$BN$9,1),FALSE),0)+IFERROR(VLOOKUP($B16,'RA5-ROM'!$A$11:$BN$18,MATCH(Summary!S$1,'RA5-ROM'!$A$9:$BN$9,1),FALSE),0)+IFERROR(VLOOKUP($B16,'RA6-CHPP'!$A$11:$BN$18,MATCH(Summary!S$1,'RA6-CHPP'!$A$9:$BN$9,1),FALSE),0)+IFERROR(VLOOKUP($B16,'RA7-Mine Infrastructure Area'!$A$11:$BN$18,MATCH(Summary!S$1,'RA7-Mine Infrastructure Area'!$A$9:$BN$9,1),FALSE),0)+IFERROR(VLOOKUP($B16,'RA8-Water Management Structures'!$A$11:$BN$18,MATCH(Summary!S$1,'RA8-Water Management Structures'!$A$9:$BN$9,1),FALSE),0)+IFERROR(VLOOKUP($B16,'RA9-Codisposal Upper'!$A$11:$BN$18,MATCH(Summary!S$1,'RA9-Codisposal Upper'!$A$9:$BN$9,1),FALSE),0)+IFERROR(VLOOKUP($B16,'RA10-Codisposal Slopes'!$A$11:$BN$18,MATCH(Summary!S$1,'RA10-Codisposal Slopes'!$A$9:$BN$9,1),FALSE),0)+IFERROR(VLOOKUP($B16,'IA1-Final Void inc Ramps'!$A$11:$BN$18,MATCH(Summary!S$1,'IA1-Final Void inc Ramps'!$A$9:$BN$9,1),FALSE),0)</f>
        <v>657.9899999999999</v>
      </c>
      <c r="T16" s="47">
        <f>IFERROR(VLOOKUP($B16,'RA1- Elevated Dumps Upper'!$A$11:$BN$18,MATCH(Summary!T$1,'RA1- Elevated Dumps Upper'!$A$9:$BN$9,1),FALSE),0)+IFERROR(VLOOKUP($B16,'RA2-Elevated Dumps Slopes'!$A$11:$BN$18,MATCH(Summary!T$1,'RA2-Elevated Dumps Slopes'!$A$9:$BN$9,1),FALSE),0)+IFERROR(VLOOKUP($B16,'RA3-Backfilled Pits'!$A$11:$BN$18,MATCH(Summary!T$1,'RA3-Backfilled Pits'!$A$9:$BN$9,1),FALSE),0)+IFERROR(VLOOKUP($B16,'RA4-Tracks_Roads'!$A$11:$BN$18,MATCH(Summary!T$1,'RA4-Tracks_Roads'!$A$9:$BN$9,1),FALSE),0)+IFERROR(VLOOKUP($B16,'RA5-ROM'!$A$11:$BN$18,MATCH(Summary!T$1,'RA5-ROM'!$A$9:$BN$9,1),FALSE),0)+IFERROR(VLOOKUP($B16,'RA6-CHPP'!$A$11:$BN$18,MATCH(Summary!T$1,'RA6-CHPP'!$A$9:$BN$9,1),FALSE),0)+IFERROR(VLOOKUP($B16,'RA7-Mine Infrastructure Area'!$A$11:$BN$18,MATCH(Summary!T$1,'RA7-Mine Infrastructure Area'!$A$9:$BN$9,1),FALSE),0)+IFERROR(VLOOKUP($B16,'RA8-Water Management Structures'!$A$11:$BN$18,MATCH(Summary!T$1,'RA8-Water Management Structures'!$A$9:$BN$9,1),FALSE),0)+IFERROR(VLOOKUP($B16,'RA9-Codisposal Upper'!$A$11:$BN$18,MATCH(Summary!T$1,'RA9-Codisposal Upper'!$A$9:$BN$9,1),FALSE),0)+IFERROR(VLOOKUP($B16,'RA10-Codisposal Slopes'!$A$11:$BN$18,MATCH(Summary!T$1,'RA10-Codisposal Slopes'!$A$9:$BN$9,1),FALSE),0)+IFERROR(VLOOKUP($B16,'IA1-Final Void inc Ramps'!$A$11:$BN$18,MATCH(Summary!T$1,'IA1-Final Void inc Ramps'!$A$9:$BN$9,1),FALSE),0)</f>
        <v>680.76199999999994</v>
      </c>
      <c r="U16" s="47">
        <f>IFERROR(VLOOKUP($B16,'RA1- Elevated Dumps Upper'!$A$11:$BN$18,MATCH(Summary!U$1,'RA1- Elevated Dumps Upper'!$A$9:$BN$9,1),FALSE),0)+IFERROR(VLOOKUP($B16,'RA2-Elevated Dumps Slopes'!$A$11:$BN$18,MATCH(Summary!U$1,'RA2-Elevated Dumps Slopes'!$A$9:$BN$9,1),FALSE),0)+IFERROR(VLOOKUP($B16,'RA3-Backfilled Pits'!$A$11:$BN$18,MATCH(Summary!U$1,'RA3-Backfilled Pits'!$A$9:$BN$9,1),FALSE),0)+IFERROR(VLOOKUP($B16,'RA4-Tracks_Roads'!$A$11:$BN$18,MATCH(Summary!U$1,'RA4-Tracks_Roads'!$A$9:$BN$9,1),FALSE),0)+IFERROR(VLOOKUP($B16,'RA5-ROM'!$A$11:$BN$18,MATCH(Summary!U$1,'RA5-ROM'!$A$9:$BN$9,1),FALSE),0)+IFERROR(VLOOKUP($B16,'RA6-CHPP'!$A$11:$BN$18,MATCH(Summary!U$1,'RA6-CHPP'!$A$9:$BN$9,1),FALSE),0)+IFERROR(VLOOKUP($B16,'RA7-Mine Infrastructure Area'!$A$11:$BN$18,MATCH(Summary!U$1,'RA7-Mine Infrastructure Area'!$A$9:$BN$9,1),FALSE),0)+IFERROR(VLOOKUP($B16,'RA8-Water Management Structures'!$A$11:$BN$18,MATCH(Summary!U$1,'RA8-Water Management Structures'!$A$9:$BN$9,1),FALSE),0)+IFERROR(VLOOKUP($B16,'RA9-Codisposal Upper'!$A$11:$BN$18,MATCH(Summary!U$1,'RA9-Codisposal Upper'!$A$9:$BN$9,1),FALSE),0)+IFERROR(VLOOKUP($B16,'RA10-Codisposal Slopes'!$A$11:$BN$18,MATCH(Summary!U$1,'RA10-Codisposal Slopes'!$A$9:$BN$9,1),FALSE),0)+IFERROR(VLOOKUP($B16,'IA1-Final Void inc Ramps'!$A$11:$BN$18,MATCH(Summary!U$1,'IA1-Final Void inc Ramps'!$A$9:$BN$9,1),FALSE),0)</f>
        <v>701.06399999999985</v>
      </c>
      <c r="V16" s="47">
        <f>IFERROR(VLOOKUP($B16,'RA1- Elevated Dumps Upper'!$A$11:$BN$18,MATCH(Summary!V$1,'RA1- Elevated Dumps Upper'!$A$9:$BN$9,1),FALSE),0)+IFERROR(VLOOKUP($B16,'RA2-Elevated Dumps Slopes'!$A$11:$BN$18,MATCH(Summary!V$1,'RA2-Elevated Dumps Slopes'!$A$9:$BN$9,1),FALSE),0)+IFERROR(VLOOKUP($B16,'RA3-Backfilled Pits'!$A$11:$BN$18,MATCH(Summary!V$1,'RA3-Backfilled Pits'!$A$9:$BN$9,1),FALSE),0)+IFERROR(VLOOKUP($B16,'RA4-Tracks_Roads'!$A$11:$BN$18,MATCH(Summary!V$1,'RA4-Tracks_Roads'!$A$9:$BN$9,1),FALSE),0)+IFERROR(VLOOKUP($B16,'RA5-ROM'!$A$11:$BN$18,MATCH(Summary!V$1,'RA5-ROM'!$A$9:$BN$9,1),FALSE),0)+IFERROR(VLOOKUP($B16,'RA6-CHPP'!$A$11:$BN$18,MATCH(Summary!V$1,'RA6-CHPP'!$A$9:$BN$9,1),FALSE),0)+IFERROR(VLOOKUP($B16,'RA7-Mine Infrastructure Area'!$A$11:$BN$18,MATCH(Summary!V$1,'RA7-Mine Infrastructure Area'!$A$9:$BN$9,1),FALSE),0)+IFERROR(VLOOKUP($B16,'RA8-Water Management Structures'!$A$11:$BN$18,MATCH(Summary!V$1,'RA8-Water Management Structures'!$A$9:$BN$9,1),FALSE),0)+IFERROR(VLOOKUP($B16,'RA9-Codisposal Upper'!$A$11:$BN$18,MATCH(Summary!V$1,'RA9-Codisposal Upper'!$A$9:$BN$9,1),FALSE),0)+IFERROR(VLOOKUP($B16,'RA10-Codisposal Slopes'!$A$11:$BN$18,MATCH(Summary!V$1,'RA10-Codisposal Slopes'!$A$9:$BN$9,1),FALSE),0)+IFERROR(VLOOKUP($B16,'IA1-Final Void inc Ramps'!$A$11:$BN$18,MATCH(Summary!V$1,'IA1-Final Void inc Ramps'!$A$9:$BN$9,1),FALSE),0)</f>
        <v>701.06399999999985</v>
      </c>
      <c r="W16" s="47">
        <f>IFERROR(VLOOKUP($B16,'RA1- Elevated Dumps Upper'!$A$11:$BN$18,MATCH(Summary!W$1,'RA1- Elevated Dumps Upper'!$A$9:$BN$9,1),FALSE),0)+IFERROR(VLOOKUP($B16,'RA2-Elevated Dumps Slopes'!$A$11:$BN$18,MATCH(Summary!W$1,'RA2-Elevated Dumps Slopes'!$A$9:$BN$9,1),FALSE),0)+IFERROR(VLOOKUP($B16,'RA3-Backfilled Pits'!$A$11:$BN$18,MATCH(Summary!W$1,'RA3-Backfilled Pits'!$A$9:$BN$9,1),FALSE),0)+IFERROR(VLOOKUP($B16,'RA4-Tracks_Roads'!$A$11:$BN$18,MATCH(Summary!W$1,'RA4-Tracks_Roads'!$A$9:$BN$9,1),FALSE),0)+IFERROR(VLOOKUP($B16,'RA5-ROM'!$A$11:$BN$18,MATCH(Summary!W$1,'RA5-ROM'!$A$9:$BN$9,1),FALSE),0)+IFERROR(VLOOKUP($B16,'RA6-CHPP'!$A$11:$BN$18,MATCH(Summary!W$1,'RA6-CHPP'!$A$9:$BN$9,1),FALSE),0)+IFERROR(VLOOKUP($B16,'RA7-Mine Infrastructure Area'!$A$11:$BN$18,MATCH(Summary!W$1,'RA7-Mine Infrastructure Area'!$A$9:$BN$9,1),FALSE),0)+IFERROR(VLOOKUP($B16,'RA8-Water Management Structures'!$A$11:$BN$18,MATCH(Summary!W$1,'RA8-Water Management Structures'!$A$9:$BN$9,1),FALSE),0)+IFERROR(VLOOKUP($B16,'RA9-Codisposal Upper'!$A$11:$BN$18,MATCH(Summary!W$1,'RA9-Codisposal Upper'!$A$9:$BN$9,1),FALSE),0)+IFERROR(VLOOKUP($B16,'RA10-Codisposal Slopes'!$A$11:$BN$18,MATCH(Summary!W$1,'RA10-Codisposal Slopes'!$A$9:$BN$9,1),FALSE),0)+IFERROR(VLOOKUP($B16,'IA1-Final Void inc Ramps'!$A$11:$BN$18,MATCH(Summary!W$1,'IA1-Final Void inc Ramps'!$A$9:$BN$9,1),FALSE),0)</f>
        <v>725.3119999999999</v>
      </c>
      <c r="X16" s="47">
        <f>IFERROR(VLOOKUP($B16,'RA1- Elevated Dumps Upper'!$A$11:$BN$18,MATCH(Summary!X$1,'RA1- Elevated Dumps Upper'!$A$9:$BN$9,1),FALSE),0)+IFERROR(VLOOKUP($B16,'RA2-Elevated Dumps Slopes'!$A$11:$BN$18,MATCH(Summary!X$1,'RA2-Elevated Dumps Slopes'!$A$9:$BN$9,1),FALSE),0)+IFERROR(VLOOKUP($B16,'RA3-Backfilled Pits'!$A$11:$BN$18,MATCH(Summary!X$1,'RA3-Backfilled Pits'!$A$9:$BN$9,1),FALSE),0)+IFERROR(VLOOKUP($B16,'RA4-Tracks_Roads'!$A$11:$BN$18,MATCH(Summary!X$1,'RA4-Tracks_Roads'!$A$9:$BN$9,1),FALSE),0)+IFERROR(VLOOKUP($B16,'RA5-ROM'!$A$11:$BN$18,MATCH(Summary!X$1,'RA5-ROM'!$A$9:$BN$9,1),FALSE),0)+IFERROR(VLOOKUP($B16,'RA6-CHPP'!$A$11:$BN$18,MATCH(Summary!X$1,'RA6-CHPP'!$A$9:$BN$9,1),FALSE),0)+IFERROR(VLOOKUP($B16,'RA7-Mine Infrastructure Area'!$A$11:$BN$18,MATCH(Summary!X$1,'RA7-Mine Infrastructure Area'!$A$9:$BN$9,1),FALSE),0)+IFERROR(VLOOKUP($B16,'RA8-Water Management Structures'!$A$11:$BN$18,MATCH(Summary!X$1,'RA8-Water Management Structures'!$A$9:$BN$9,1),FALSE),0)+IFERROR(VLOOKUP($B16,'RA9-Codisposal Upper'!$A$11:$BN$18,MATCH(Summary!X$1,'RA9-Codisposal Upper'!$A$9:$BN$9,1),FALSE),0)+IFERROR(VLOOKUP($B16,'RA10-Codisposal Slopes'!$A$11:$BN$18,MATCH(Summary!X$1,'RA10-Codisposal Slopes'!$A$9:$BN$9,1),FALSE),0)+IFERROR(VLOOKUP($B16,'IA1-Final Void inc Ramps'!$A$11:$BN$18,MATCH(Summary!X$1,'IA1-Final Void inc Ramps'!$A$9:$BN$9,1),FALSE),0)</f>
        <v>759.93</v>
      </c>
      <c r="Y16" s="47">
        <f>IFERROR(VLOOKUP($B16,'RA1- Elevated Dumps Upper'!$A$11:$BN$18,MATCH(Summary!Y$1,'RA1- Elevated Dumps Upper'!$A$9:$BN$9,1),FALSE),0)+IFERROR(VLOOKUP($B16,'RA2-Elevated Dumps Slopes'!$A$11:$BN$18,MATCH(Summary!Y$1,'RA2-Elevated Dumps Slopes'!$A$9:$BN$9,1),FALSE),0)+IFERROR(VLOOKUP($B16,'RA3-Backfilled Pits'!$A$11:$BN$18,MATCH(Summary!Y$1,'RA3-Backfilled Pits'!$A$9:$BN$9,1),FALSE),0)+IFERROR(VLOOKUP($B16,'RA4-Tracks_Roads'!$A$11:$BN$18,MATCH(Summary!Y$1,'RA4-Tracks_Roads'!$A$9:$BN$9,1),FALSE),0)+IFERROR(VLOOKUP($B16,'RA5-ROM'!$A$11:$BN$18,MATCH(Summary!Y$1,'RA5-ROM'!$A$9:$BN$9,1),FALSE),0)+IFERROR(VLOOKUP($B16,'RA6-CHPP'!$A$11:$BN$18,MATCH(Summary!Y$1,'RA6-CHPP'!$A$9:$BN$9,1),FALSE),0)+IFERROR(VLOOKUP($B16,'RA7-Mine Infrastructure Area'!$A$11:$BN$18,MATCH(Summary!Y$1,'RA7-Mine Infrastructure Area'!$A$9:$BN$9,1),FALSE),0)+IFERROR(VLOOKUP($B16,'RA8-Water Management Structures'!$A$11:$BN$18,MATCH(Summary!Y$1,'RA8-Water Management Structures'!$A$9:$BN$9,1),FALSE),0)+IFERROR(VLOOKUP($B16,'RA9-Codisposal Upper'!$A$11:$BN$18,MATCH(Summary!Y$1,'RA9-Codisposal Upper'!$A$9:$BN$9,1),FALSE),0)+IFERROR(VLOOKUP($B16,'RA10-Codisposal Slopes'!$A$11:$BN$18,MATCH(Summary!Y$1,'RA10-Codisposal Slopes'!$A$9:$BN$9,1),FALSE),0)+IFERROR(VLOOKUP($B16,'IA1-Final Void inc Ramps'!$A$11:$BN$18,MATCH(Summary!Y$1,'IA1-Final Void inc Ramps'!$A$9:$BN$9,1),FALSE),0)</f>
        <v>825.22</v>
      </c>
      <c r="Z16" s="47">
        <f>IFERROR(VLOOKUP($B16,'RA1- Elevated Dumps Upper'!$A$11:$BN$18,MATCH(Summary!Z$1,'RA1- Elevated Dumps Upper'!$A$9:$BN$9,1),FALSE),0)+IFERROR(VLOOKUP($B16,'RA2-Elevated Dumps Slopes'!$A$11:$BN$18,MATCH(Summary!Z$1,'RA2-Elevated Dumps Slopes'!$A$9:$BN$9,1),FALSE),0)+IFERROR(VLOOKUP($B16,'RA3-Backfilled Pits'!$A$11:$BN$18,MATCH(Summary!Z$1,'RA3-Backfilled Pits'!$A$9:$BN$9,1),FALSE),0)+IFERROR(VLOOKUP($B16,'RA4-Tracks_Roads'!$A$11:$BN$18,MATCH(Summary!Z$1,'RA4-Tracks_Roads'!$A$9:$BN$9,1),FALSE),0)+IFERROR(VLOOKUP($B16,'RA5-ROM'!$A$11:$BN$18,MATCH(Summary!Z$1,'RA5-ROM'!$A$9:$BN$9,1),FALSE),0)+IFERROR(VLOOKUP($B16,'RA6-CHPP'!$A$11:$BN$18,MATCH(Summary!Z$1,'RA6-CHPP'!$A$9:$BN$9,1),FALSE),0)+IFERROR(VLOOKUP($B16,'RA7-Mine Infrastructure Area'!$A$11:$BN$18,MATCH(Summary!Z$1,'RA7-Mine Infrastructure Area'!$A$9:$BN$9,1),FALSE),0)+IFERROR(VLOOKUP($B16,'RA8-Water Management Structures'!$A$11:$BN$18,MATCH(Summary!Z$1,'RA8-Water Management Structures'!$A$9:$BN$9,1),FALSE),0)+IFERROR(VLOOKUP($B16,'RA9-Codisposal Upper'!$A$11:$BN$18,MATCH(Summary!Z$1,'RA9-Codisposal Upper'!$A$9:$BN$9,1),FALSE),0)+IFERROR(VLOOKUP($B16,'RA10-Codisposal Slopes'!$A$11:$BN$18,MATCH(Summary!Z$1,'RA10-Codisposal Slopes'!$A$9:$BN$9,1),FALSE),0)+IFERROR(VLOOKUP($B16,'IA1-Final Void inc Ramps'!$A$11:$BN$18,MATCH(Summary!Z$1,'IA1-Final Void inc Ramps'!$A$9:$BN$9,1),FALSE),0)</f>
        <v>860.49299999999994</v>
      </c>
      <c r="AA16" s="47">
        <f>IFERROR(VLOOKUP($B16,'RA1- Elevated Dumps Upper'!$A$11:$BN$18,MATCH(Summary!AA$1,'RA1- Elevated Dumps Upper'!$A$9:$BN$9,1),FALSE),0)+IFERROR(VLOOKUP($B16,'RA2-Elevated Dumps Slopes'!$A$11:$BN$18,MATCH(Summary!AA$1,'RA2-Elevated Dumps Slopes'!$A$9:$BN$9,1),FALSE),0)+IFERROR(VLOOKUP($B16,'RA3-Backfilled Pits'!$A$11:$BN$18,MATCH(Summary!AA$1,'RA3-Backfilled Pits'!$A$9:$BN$9,1),FALSE),0)+IFERROR(VLOOKUP($B16,'RA4-Tracks_Roads'!$A$11:$BN$18,MATCH(Summary!AA$1,'RA4-Tracks_Roads'!$A$9:$BN$9,1),FALSE),0)+IFERROR(VLOOKUP($B16,'RA5-ROM'!$A$11:$BN$18,MATCH(Summary!AA$1,'RA5-ROM'!$A$9:$BN$9,1),FALSE),0)+IFERROR(VLOOKUP($B16,'RA6-CHPP'!$A$11:$BN$18,MATCH(Summary!AA$1,'RA6-CHPP'!$A$9:$BN$9,1),FALSE),0)+IFERROR(VLOOKUP($B16,'RA7-Mine Infrastructure Area'!$A$11:$BN$18,MATCH(Summary!AA$1,'RA7-Mine Infrastructure Area'!$A$9:$BN$9,1),FALSE),0)+IFERROR(VLOOKUP($B16,'RA8-Water Management Structures'!$A$11:$BN$18,MATCH(Summary!AA$1,'RA8-Water Management Structures'!$A$9:$BN$9,1),FALSE),0)+IFERROR(VLOOKUP($B16,'RA9-Codisposal Upper'!$A$11:$BN$18,MATCH(Summary!AA$1,'RA9-Codisposal Upper'!$A$9:$BN$9,1),FALSE),0)+IFERROR(VLOOKUP($B16,'RA10-Codisposal Slopes'!$A$11:$BN$18,MATCH(Summary!AA$1,'RA10-Codisposal Slopes'!$A$9:$BN$9,1),FALSE),0)+IFERROR(VLOOKUP($B16,'IA1-Final Void inc Ramps'!$A$11:$BN$18,MATCH(Summary!AA$1,'IA1-Final Void inc Ramps'!$A$9:$BN$9,1),FALSE),0)</f>
        <v>860.49299999999994</v>
      </c>
      <c r="AB16" s="47">
        <f>IFERROR(VLOOKUP($B16,'RA1- Elevated Dumps Upper'!$A$11:$BN$18,MATCH(Summary!AB$1,'RA1- Elevated Dumps Upper'!$A$9:$BN$9,1),FALSE),0)+IFERROR(VLOOKUP($B16,'RA2-Elevated Dumps Slopes'!$A$11:$BN$18,MATCH(Summary!AB$1,'RA2-Elevated Dumps Slopes'!$A$9:$BN$9,1),FALSE),0)+IFERROR(VLOOKUP($B16,'RA3-Backfilled Pits'!$A$11:$BN$18,MATCH(Summary!AB$1,'RA3-Backfilled Pits'!$A$9:$BN$9,1),FALSE),0)+IFERROR(VLOOKUP($B16,'RA4-Tracks_Roads'!$A$11:$BN$18,MATCH(Summary!AB$1,'RA4-Tracks_Roads'!$A$9:$BN$9,1),FALSE),0)+IFERROR(VLOOKUP($B16,'RA5-ROM'!$A$11:$BN$18,MATCH(Summary!AB$1,'RA5-ROM'!$A$9:$BN$9,1),FALSE),0)+IFERROR(VLOOKUP($B16,'RA6-CHPP'!$A$11:$BN$18,MATCH(Summary!AB$1,'RA6-CHPP'!$A$9:$BN$9,1),FALSE),0)+IFERROR(VLOOKUP($B16,'RA7-Mine Infrastructure Area'!$A$11:$BN$18,MATCH(Summary!AB$1,'RA7-Mine Infrastructure Area'!$A$9:$BN$9,1),FALSE),0)+IFERROR(VLOOKUP($B16,'RA8-Water Management Structures'!$A$11:$BN$18,MATCH(Summary!AB$1,'RA8-Water Management Structures'!$A$9:$BN$9,1),FALSE),0)+IFERROR(VLOOKUP($B16,'RA9-Codisposal Upper'!$A$11:$BN$18,MATCH(Summary!AB$1,'RA9-Codisposal Upper'!$A$9:$BN$9,1),FALSE),0)+IFERROR(VLOOKUP($B16,'RA10-Codisposal Slopes'!$A$11:$BN$18,MATCH(Summary!AB$1,'RA10-Codisposal Slopes'!$A$9:$BN$9,1),FALSE),0)+IFERROR(VLOOKUP($B16,'IA1-Final Void inc Ramps'!$A$11:$BN$18,MATCH(Summary!AB$1,'IA1-Final Void inc Ramps'!$A$9:$BN$9,1),FALSE),0)</f>
        <v>860.49299999999994</v>
      </c>
      <c r="AC16" s="47">
        <f>IFERROR(VLOOKUP($B16,'RA1- Elevated Dumps Upper'!$A$11:$BN$18,MATCH(Summary!AC$1,'RA1- Elevated Dumps Upper'!$A$9:$BN$9,1),FALSE),0)+IFERROR(VLOOKUP($B16,'RA2-Elevated Dumps Slopes'!$A$11:$BN$18,MATCH(Summary!AC$1,'RA2-Elevated Dumps Slopes'!$A$9:$BN$9,1),FALSE),0)+IFERROR(VLOOKUP($B16,'RA3-Backfilled Pits'!$A$11:$BN$18,MATCH(Summary!AC$1,'RA3-Backfilled Pits'!$A$9:$BN$9,1),FALSE),0)+IFERROR(VLOOKUP($B16,'RA4-Tracks_Roads'!$A$11:$BN$18,MATCH(Summary!AC$1,'RA4-Tracks_Roads'!$A$9:$BN$9,1),FALSE),0)+IFERROR(VLOOKUP($B16,'RA5-ROM'!$A$11:$BN$18,MATCH(Summary!AC$1,'RA5-ROM'!$A$9:$BN$9,1),FALSE),0)+IFERROR(VLOOKUP($B16,'RA6-CHPP'!$A$11:$BN$18,MATCH(Summary!AC$1,'RA6-CHPP'!$A$9:$BN$9,1),FALSE),0)+IFERROR(VLOOKUP($B16,'RA7-Mine Infrastructure Area'!$A$11:$BN$18,MATCH(Summary!AC$1,'RA7-Mine Infrastructure Area'!$A$9:$BN$9,1),FALSE),0)+IFERROR(VLOOKUP($B16,'RA8-Water Management Structures'!$A$11:$BN$18,MATCH(Summary!AC$1,'RA8-Water Management Structures'!$A$9:$BN$9,1),FALSE),0)+IFERROR(VLOOKUP($B16,'RA9-Codisposal Upper'!$A$11:$BN$18,MATCH(Summary!AC$1,'RA9-Codisposal Upper'!$A$9:$BN$9,1),FALSE),0)+IFERROR(VLOOKUP($B16,'RA10-Codisposal Slopes'!$A$11:$BN$18,MATCH(Summary!AC$1,'RA10-Codisposal Slopes'!$A$9:$BN$9,1),FALSE),0)+IFERROR(VLOOKUP($B16,'IA1-Final Void inc Ramps'!$A$11:$BN$18,MATCH(Summary!AC$1,'IA1-Final Void inc Ramps'!$A$9:$BN$9,1),FALSE),0)</f>
        <v>895.03099999999995</v>
      </c>
      <c r="AD16" s="47">
        <f>IFERROR(VLOOKUP($B16,'RA1- Elevated Dumps Upper'!$A$11:$BN$18,MATCH(Summary!AD$1,'RA1- Elevated Dumps Upper'!$A$9:$BN$9,1),FALSE),0)+IFERROR(VLOOKUP($B16,'RA2-Elevated Dumps Slopes'!$A$11:$BN$18,MATCH(Summary!AD$1,'RA2-Elevated Dumps Slopes'!$A$9:$BN$9,1),FALSE),0)+IFERROR(VLOOKUP($B16,'RA3-Backfilled Pits'!$A$11:$BN$18,MATCH(Summary!AD$1,'RA3-Backfilled Pits'!$A$9:$BN$9,1),FALSE),0)+IFERROR(VLOOKUP($B16,'RA4-Tracks_Roads'!$A$11:$BN$18,MATCH(Summary!AD$1,'RA4-Tracks_Roads'!$A$9:$BN$9,1),FALSE),0)+IFERROR(VLOOKUP($B16,'RA5-ROM'!$A$11:$BN$18,MATCH(Summary!AD$1,'RA5-ROM'!$A$9:$BN$9,1),FALSE),0)+IFERROR(VLOOKUP($B16,'RA6-CHPP'!$A$11:$BN$18,MATCH(Summary!AD$1,'RA6-CHPP'!$A$9:$BN$9,1),FALSE),0)+IFERROR(VLOOKUP($B16,'RA7-Mine Infrastructure Area'!$A$11:$BN$18,MATCH(Summary!AD$1,'RA7-Mine Infrastructure Area'!$A$9:$BN$9,1),FALSE),0)+IFERROR(VLOOKUP($B16,'RA8-Water Management Structures'!$A$11:$BN$18,MATCH(Summary!AD$1,'RA8-Water Management Structures'!$A$9:$BN$9,1),FALSE),0)+IFERROR(VLOOKUP($B16,'RA9-Codisposal Upper'!$A$11:$BN$18,MATCH(Summary!AD$1,'RA9-Codisposal Upper'!$A$9:$BN$9,1),FALSE),0)+IFERROR(VLOOKUP($B16,'RA10-Codisposal Slopes'!$A$11:$BN$18,MATCH(Summary!AD$1,'RA10-Codisposal Slopes'!$A$9:$BN$9,1),FALSE),0)+IFERROR(VLOOKUP($B16,'IA1-Final Void inc Ramps'!$A$11:$BN$18,MATCH(Summary!AD$1,'IA1-Final Void inc Ramps'!$A$9:$BN$9,1),FALSE),0)</f>
        <v>895.03099999999995</v>
      </c>
      <c r="AE16" s="47">
        <f>IFERROR(VLOOKUP($B16,'RA1- Elevated Dumps Upper'!$A$11:$BN$18,MATCH(Summary!AE$1,'RA1- Elevated Dumps Upper'!$A$9:$BN$9,1),FALSE),0)+IFERROR(VLOOKUP($B16,'RA2-Elevated Dumps Slopes'!$A$11:$BN$18,MATCH(Summary!AE$1,'RA2-Elevated Dumps Slopes'!$A$9:$BN$9,1),FALSE),0)+IFERROR(VLOOKUP($B16,'RA3-Backfilled Pits'!$A$11:$BN$18,MATCH(Summary!AE$1,'RA3-Backfilled Pits'!$A$9:$BN$9,1),FALSE),0)+IFERROR(VLOOKUP($B16,'RA4-Tracks_Roads'!$A$11:$BN$18,MATCH(Summary!AE$1,'RA4-Tracks_Roads'!$A$9:$BN$9,1),FALSE),0)+IFERROR(VLOOKUP($B16,'RA5-ROM'!$A$11:$BN$18,MATCH(Summary!AE$1,'RA5-ROM'!$A$9:$BN$9,1),FALSE),0)+IFERROR(VLOOKUP($B16,'RA6-CHPP'!$A$11:$BN$18,MATCH(Summary!AE$1,'RA6-CHPP'!$A$9:$BN$9,1),FALSE),0)+IFERROR(VLOOKUP($B16,'RA7-Mine Infrastructure Area'!$A$11:$BN$18,MATCH(Summary!AE$1,'RA7-Mine Infrastructure Area'!$A$9:$BN$9,1),FALSE),0)+IFERROR(VLOOKUP($B16,'RA8-Water Management Structures'!$A$11:$BN$18,MATCH(Summary!AE$1,'RA8-Water Management Structures'!$A$9:$BN$9,1),FALSE),0)+IFERROR(VLOOKUP($B16,'RA9-Codisposal Upper'!$A$11:$BN$18,MATCH(Summary!AE$1,'RA9-Codisposal Upper'!$A$9:$BN$9,1),FALSE),0)+IFERROR(VLOOKUP($B16,'RA10-Codisposal Slopes'!$A$11:$BN$18,MATCH(Summary!AE$1,'RA10-Codisposal Slopes'!$A$9:$BN$9,1),FALSE),0)+IFERROR(VLOOKUP($B16,'IA1-Final Void inc Ramps'!$A$11:$BN$18,MATCH(Summary!AE$1,'IA1-Final Void inc Ramps'!$A$9:$BN$9,1),FALSE),0)</f>
        <v>895.03099999999995</v>
      </c>
      <c r="AF16" s="47">
        <f>IFERROR(VLOOKUP($B16,'RA1- Elevated Dumps Upper'!$A$11:$BN$18,MATCH(Summary!AF$1,'RA1- Elevated Dumps Upper'!$A$9:$BN$9,1),FALSE),0)+IFERROR(VLOOKUP($B16,'RA2-Elevated Dumps Slopes'!$A$11:$BN$18,MATCH(Summary!AF$1,'RA2-Elevated Dumps Slopes'!$A$9:$BN$9,1),FALSE),0)+IFERROR(VLOOKUP($B16,'RA3-Backfilled Pits'!$A$11:$BN$18,MATCH(Summary!AF$1,'RA3-Backfilled Pits'!$A$9:$BN$9,1),FALSE),0)+IFERROR(VLOOKUP($B16,'RA4-Tracks_Roads'!$A$11:$BN$18,MATCH(Summary!AF$1,'RA4-Tracks_Roads'!$A$9:$BN$9,1),FALSE),0)+IFERROR(VLOOKUP($B16,'RA5-ROM'!$A$11:$BN$18,MATCH(Summary!AF$1,'RA5-ROM'!$A$9:$BN$9,1),FALSE),0)+IFERROR(VLOOKUP($B16,'RA6-CHPP'!$A$11:$BN$18,MATCH(Summary!AF$1,'RA6-CHPP'!$A$9:$BN$9,1),FALSE),0)+IFERROR(VLOOKUP($B16,'RA7-Mine Infrastructure Area'!$A$11:$BN$18,MATCH(Summary!AF$1,'RA7-Mine Infrastructure Area'!$A$9:$BN$9,1),FALSE),0)+IFERROR(VLOOKUP($B16,'RA8-Water Management Structures'!$A$11:$BN$18,MATCH(Summary!AF$1,'RA8-Water Management Structures'!$A$9:$BN$9,1),FALSE),0)+IFERROR(VLOOKUP($B16,'RA9-Codisposal Upper'!$A$11:$BN$18,MATCH(Summary!AF$1,'RA9-Codisposal Upper'!$A$9:$BN$9,1),FALSE),0)+IFERROR(VLOOKUP($B16,'RA10-Codisposal Slopes'!$A$11:$BN$18,MATCH(Summary!AF$1,'RA10-Codisposal Slopes'!$A$9:$BN$9,1),FALSE),0)+IFERROR(VLOOKUP($B16,'IA1-Final Void inc Ramps'!$A$11:$BN$18,MATCH(Summary!AF$1,'IA1-Final Void inc Ramps'!$A$9:$BN$9,1),FALSE),0)</f>
        <v>1204.8519999999999</v>
      </c>
      <c r="AG16" s="47">
        <f>IFERROR(VLOOKUP($B16,'RA1- Elevated Dumps Upper'!$A$11:$BN$18,MATCH(Summary!AG$1,'RA1- Elevated Dumps Upper'!$A$9:$BN$9,1),FALSE),0)+IFERROR(VLOOKUP($B16,'RA2-Elevated Dumps Slopes'!$A$11:$BN$18,MATCH(Summary!AG$1,'RA2-Elevated Dumps Slopes'!$A$9:$BN$9,1),FALSE),0)+IFERROR(VLOOKUP($B16,'RA3-Backfilled Pits'!$A$11:$BN$18,MATCH(Summary!AG$1,'RA3-Backfilled Pits'!$A$9:$BN$9,1),FALSE),0)+IFERROR(VLOOKUP($B16,'RA4-Tracks_Roads'!$A$11:$BN$18,MATCH(Summary!AG$1,'RA4-Tracks_Roads'!$A$9:$BN$9,1),FALSE),0)+IFERROR(VLOOKUP($B16,'RA5-ROM'!$A$11:$BN$18,MATCH(Summary!AG$1,'RA5-ROM'!$A$9:$BN$9,1),FALSE),0)+IFERROR(VLOOKUP($B16,'RA6-CHPP'!$A$11:$BN$18,MATCH(Summary!AG$1,'RA6-CHPP'!$A$9:$BN$9,1),FALSE),0)+IFERROR(VLOOKUP($B16,'RA7-Mine Infrastructure Area'!$A$11:$BN$18,MATCH(Summary!AG$1,'RA7-Mine Infrastructure Area'!$A$9:$BN$9,1),FALSE),0)+IFERROR(VLOOKUP($B16,'RA8-Water Management Structures'!$A$11:$BN$18,MATCH(Summary!AG$1,'RA8-Water Management Structures'!$A$9:$BN$9,1),FALSE),0)+IFERROR(VLOOKUP($B16,'RA9-Codisposal Upper'!$A$11:$BN$18,MATCH(Summary!AG$1,'RA9-Codisposal Upper'!$A$9:$BN$9,1),FALSE),0)+IFERROR(VLOOKUP($B16,'RA10-Codisposal Slopes'!$A$11:$BN$18,MATCH(Summary!AG$1,'RA10-Codisposal Slopes'!$A$9:$BN$9,1),FALSE),0)+IFERROR(VLOOKUP($B16,'IA1-Final Void inc Ramps'!$A$11:$BN$18,MATCH(Summary!AG$1,'IA1-Final Void inc Ramps'!$A$9:$BN$9,1),FALSE),0)</f>
        <v>1421.7450000000001</v>
      </c>
      <c r="AH16" s="47">
        <f>IFERROR(VLOOKUP($B16,'RA1- Elevated Dumps Upper'!$A$11:$BN$18,MATCH(Summary!AH$1,'RA1- Elevated Dumps Upper'!$A$9:$BN$9,1),FALSE),0)+IFERROR(VLOOKUP($B16,'RA2-Elevated Dumps Slopes'!$A$11:$BN$18,MATCH(Summary!AH$1,'RA2-Elevated Dumps Slopes'!$A$9:$BN$9,1),FALSE),0)+IFERROR(VLOOKUP($B16,'RA3-Backfilled Pits'!$A$11:$BN$18,MATCH(Summary!AH$1,'RA3-Backfilled Pits'!$A$9:$BN$9,1),FALSE),0)+IFERROR(VLOOKUP($B16,'RA4-Tracks_Roads'!$A$11:$BN$18,MATCH(Summary!AH$1,'RA4-Tracks_Roads'!$A$9:$BN$9,1),FALSE),0)+IFERROR(VLOOKUP($B16,'RA5-ROM'!$A$11:$BN$18,MATCH(Summary!AH$1,'RA5-ROM'!$A$9:$BN$9,1),FALSE),0)+IFERROR(VLOOKUP($B16,'RA6-CHPP'!$A$11:$BN$18,MATCH(Summary!AH$1,'RA6-CHPP'!$A$9:$BN$9,1),FALSE),0)+IFERROR(VLOOKUP($B16,'RA7-Mine Infrastructure Area'!$A$11:$BN$18,MATCH(Summary!AH$1,'RA7-Mine Infrastructure Area'!$A$9:$BN$9,1),FALSE),0)+IFERROR(VLOOKUP($B16,'RA8-Water Management Structures'!$A$11:$BN$18,MATCH(Summary!AH$1,'RA8-Water Management Structures'!$A$9:$BN$9,1),FALSE),0)+IFERROR(VLOOKUP($B16,'RA9-Codisposal Upper'!$A$11:$BN$18,MATCH(Summary!AH$1,'RA9-Codisposal Upper'!$A$9:$BN$9,1),FALSE),0)+IFERROR(VLOOKUP($B16,'RA10-Codisposal Slopes'!$A$11:$BN$18,MATCH(Summary!AH$1,'RA10-Codisposal Slopes'!$A$9:$BN$9,1),FALSE),0)+IFERROR(VLOOKUP($B16,'IA1-Final Void inc Ramps'!$A$11:$BN$18,MATCH(Summary!AH$1,'IA1-Final Void inc Ramps'!$A$9:$BN$9,1),FALSE),0)</f>
        <v>1574.6130000000001</v>
      </c>
      <c r="AI16" s="47">
        <f>IFERROR(VLOOKUP($B16,'RA1- Elevated Dumps Upper'!$A$11:$BN$18,MATCH(Summary!AI$1,'RA1- Elevated Dumps Upper'!$A$9:$BN$9,1),FALSE),0)+IFERROR(VLOOKUP($B16,'RA2-Elevated Dumps Slopes'!$A$11:$BN$18,MATCH(Summary!AI$1,'RA2-Elevated Dumps Slopes'!$A$9:$BN$9,1),FALSE),0)+IFERROR(VLOOKUP($B16,'RA3-Backfilled Pits'!$A$11:$BN$18,MATCH(Summary!AI$1,'RA3-Backfilled Pits'!$A$9:$BN$9,1),FALSE),0)+IFERROR(VLOOKUP($B16,'RA4-Tracks_Roads'!$A$11:$BN$18,MATCH(Summary!AI$1,'RA4-Tracks_Roads'!$A$9:$BN$9,1),FALSE),0)+IFERROR(VLOOKUP($B16,'RA5-ROM'!$A$11:$BN$18,MATCH(Summary!AI$1,'RA5-ROM'!$A$9:$BN$9,1),FALSE),0)+IFERROR(VLOOKUP($B16,'RA6-CHPP'!$A$11:$BN$18,MATCH(Summary!AI$1,'RA6-CHPP'!$A$9:$BN$9,1),FALSE),0)+IFERROR(VLOOKUP($B16,'RA7-Mine Infrastructure Area'!$A$11:$BN$18,MATCH(Summary!AI$1,'RA7-Mine Infrastructure Area'!$A$9:$BN$9,1),FALSE),0)+IFERROR(VLOOKUP($B16,'RA8-Water Management Structures'!$A$11:$BN$18,MATCH(Summary!AI$1,'RA8-Water Management Structures'!$A$9:$BN$9,1),FALSE),0)+IFERROR(VLOOKUP($B16,'RA9-Codisposal Upper'!$A$11:$BN$18,MATCH(Summary!AI$1,'RA9-Codisposal Upper'!$A$9:$BN$9,1),FALSE),0)+IFERROR(VLOOKUP($B16,'RA10-Codisposal Slopes'!$A$11:$BN$18,MATCH(Summary!AI$1,'RA10-Codisposal Slopes'!$A$9:$BN$9,1),FALSE),0)+IFERROR(VLOOKUP($B16,'IA1-Final Void inc Ramps'!$A$11:$BN$18,MATCH(Summary!AI$1,'IA1-Final Void inc Ramps'!$A$9:$BN$9,1),FALSE),0)</f>
        <v>1901.2130000000002</v>
      </c>
      <c r="AJ16" s="47">
        <f>IFERROR(VLOOKUP($B16,'RA1- Elevated Dumps Upper'!$A$11:$BN$18,MATCH(Summary!AJ$1,'RA1- Elevated Dumps Upper'!$A$9:$BN$9,1),FALSE),0)+IFERROR(VLOOKUP($B16,'RA2-Elevated Dumps Slopes'!$A$11:$BN$18,MATCH(Summary!AJ$1,'RA2-Elevated Dumps Slopes'!$A$9:$BN$9,1),FALSE),0)+IFERROR(VLOOKUP($B16,'RA3-Backfilled Pits'!$A$11:$BN$18,MATCH(Summary!AJ$1,'RA3-Backfilled Pits'!$A$9:$BN$9,1),FALSE),0)+IFERROR(VLOOKUP($B16,'RA4-Tracks_Roads'!$A$11:$BN$18,MATCH(Summary!AJ$1,'RA4-Tracks_Roads'!$A$9:$BN$9,1),FALSE),0)+IFERROR(VLOOKUP($B16,'RA5-ROM'!$A$11:$BN$18,MATCH(Summary!AJ$1,'RA5-ROM'!$A$9:$BN$9,1),FALSE),0)+IFERROR(VLOOKUP($B16,'RA6-CHPP'!$A$11:$BN$18,MATCH(Summary!AJ$1,'RA6-CHPP'!$A$9:$BN$9,1),FALSE),0)+IFERROR(VLOOKUP($B16,'RA7-Mine Infrastructure Area'!$A$11:$BN$18,MATCH(Summary!AJ$1,'RA7-Mine Infrastructure Area'!$A$9:$BN$9,1),FALSE),0)+IFERROR(VLOOKUP($B16,'RA8-Water Management Structures'!$A$11:$BN$18,MATCH(Summary!AJ$1,'RA8-Water Management Structures'!$A$9:$BN$9,1),FALSE),0)+IFERROR(VLOOKUP($B16,'RA9-Codisposal Upper'!$A$11:$BN$18,MATCH(Summary!AJ$1,'RA9-Codisposal Upper'!$A$9:$BN$9,1),FALSE),0)+IFERROR(VLOOKUP($B16,'RA10-Codisposal Slopes'!$A$11:$BN$18,MATCH(Summary!AJ$1,'RA10-Codisposal Slopes'!$A$9:$BN$9,1),FALSE),0)+IFERROR(VLOOKUP($B16,'IA1-Final Void inc Ramps'!$A$11:$BN$18,MATCH(Summary!AJ$1,'IA1-Final Void inc Ramps'!$A$9:$BN$9,1),FALSE),0)</f>
        <v>1901.2130000000002</v>
      </c>
      <c r="AK16" s="47">
        <f>IFERROR(VLOOKUP($B16,'RA1- Elevated Dumps Upper'!$A$11:$BN$18,MATCH(Summary!AK$1,'RA1- Elevated Dumps Upper'!$A$9:$BN$9,1),FALSE),0)+IFERROR(VLOOKUP($B16,'RA2-Elevated Dumps Slopes'!$A$11:$BN$18,MATCH(Summary!AK$1,'RA2-Elevated Dumps Slopes'!$A$9:$BN$9,1),FALSE),0)+IFERROR(VLOOKUP($B16,'RA3-Backfilled Pits'!$A$11:$BN$18,MATCH(Summary!AK$1,'RA3-Backfilled Pits'!$A$9:$BN$9,1),FALSE),0)+IFERROR(VLOOKUP($B16,'RA4-Tracks_Roads'!$A$11:$BN$18,MATCH(Summary!AK$1,'RA4-Tracks_Roads'!$A$9:$BN$9,1),FALSE),0)+IFERROR(VLOOKUP($B16,'RA5-ROM'!$A$11:$BN$18,MATCH(Summary!AK$1,'RA5-ROM'!$A$9:$BN$9,1),FALSE),0)+IFERROR(VLOOKUP($B16,'RA6-CHPP'!$A$11:$BN$18,MATCH(Summary!AK$1,'RA6-CHPP'!$A$9:$BN$9,1),FALSE),0)+IFERROR(VLOOKUP($B16,'RA7-Mine Infrastructure Area'!$A$11:$BN$18,MATCH(Summary!AK$1,'RA7-Mine Infrastructure Area'!$A$9:$BN$9,1),FALSE),0)+IFERROR(VLOOKUP($B16,'RA8-Water Management Structures'!$A$11:$BN$18,MATCH(Summary!AK$1,'RA8-Water Management Structures'!$A$9:$BN$9,1),FALSE),0)+IFERROR(VLOOKUP($B16,'RA9-Codisposal Upper'!$A$11:$BN$18,MATCH(Summary!AK$1,'RA9-Codisposal Upper'!$A$9:$BN$9,1),FALSE),0)+IFERROR(VLOOKUP($B16,'RA10-Codisposal Slopes'!$A$11:$BN$18,MATCH(Summary!AK$1,'RA10-Codisposal Slopes'!$A$9:$BN$9,1),FALSE),0)+IFERROR(VLOOKUP($B16,'IA1-Final Void inc Ramps'!$A$11:$BN$18,MATCH(Summary!AK$1,'IA1-Final Void inc Ramps'!$A$9:$BN$9,1),FALSE),0)</f>
        <v>1901.2130000000002</v>
      </c>
      <c r="AL16" s="47">
        <f>IFERROR(VLOOKUP($B16,'RA1- Elevated Dumps Upper'!$A$11:$BN$18,MATCH(Summary!AL$1,'RA1- Elevated Dumps Upper'!$A$9:$BN$9,1),FALSE),0)+IFERROR(VLOOKUP($B16,'RA2-Elevated Dumps Slopes'!$A$11:$BN$18,MATCH(Summary!AL$1,'RA2-Elevated Dumps Slopes'!$A$9:$BN$9,1),FALSE),0)+IFERROR(VLOOKUP($B16,'RA3-Backfilled Pits'!$A$11:$BN$18,MATCH(Summary!AL$1,'RA3-Backfilled Pits'!$A$9:$BN$9,1),FALSE),0)+IFERROR(VLOOKUP($B16,'RA4-Tracks_Roads'!$A$11:$BN$18,MATCH(Summary!AL$1,'RA4-Tracks_Roads'!$A$9:$BN$9,1),FALSE),0)+IFERROR(VLOOKUP($B16,'RA5-ROM'!$A$11:$BN$18,MATCH(Summary!AL$1,'RA5-ROM'!$A$9:$BN$9,1),FALSE),0)+IFERROR(VLOOKUP($B16,'RA6-CHPP'!$A$11:$BN$18,MATCH(Summary!AL$1,'RA6-CHPP'!$A$9:$BN$9,1),FALSE),0)+IFERROR(VLOOKUP($B16,'RA7-Mine Infrastructure Area'!$A$11:$BN$18,MATCH(Summary!AL$1,'RA7-Mine Infrastructure Area'!$A$9:$BN$9,1),FALSE),0)+IFERROR(VLOOKUP($B16,'RA8-Water Management Structures'!$A$11:$BN$18,MATCH(Summary!AL$1,'RA8-Water Management Structures'!$A$9:$BN$9,1),FALSE),0)+IFERROR(VLOOKUP($B16,'RA9-Codisposal Upper'!$A$11:$BN$18,MATCH(Summary!AL$1,'RA9-Codisposal Upper'!$A$9:$BN$9,1),FALSE),0)+IFERROR(VLOOKUP($B16,'RA10-Codisposal Slopes'!$A$11:$BN$18,MATCH(Summary!AL$1,'RA10-Codisposal Slopes'!$A$9:$BN$9,1),FALSE),0)+IFERROR(VLOOKUP($B16,'IA1-Final Void inc Ramps'!$A$11:$BN$18,MATCH(Summary!AL$1,'IA1-Final Void inc Ramps'!$A$9:$BN$9,1),FALSE),0)</f>
        <v>1901.2130000000002</v>
      </c>
      <c r="AM16" s="47">
        <f>IFERROR(VLOOKUP($B16,'RA1- Elevated Dumps Upper'!$A$11:$BN$18,MATCH(Summary!AM$1,'RA1- Elevated Dumps Upper'!$A$9:$BN$9,1),FALSE),0)+IFERROR(VLOOKUP($B16,'RA2-Elevated Dumps Slopes'!$A$11:$BN$18,MATCH(Summary!AM$1,'RA2-Elevated Dumps Slopes'!$A$9:$BN$9,1),FALSE),0)+IFERROR(VLOOKUP($B16,'RA3-Backfilled Pits'!$A$11:$BN$18,MATCH(Summary!AM$1,'RA3-Backfilled Pits'!$A$9:$BN$9,1),FALSE),0)+IFERROR(VLOOKUP($B16,'RA4-Tracks_Roads'!$A$11:$BN$18,MATCH(Summary!AM$1,'RA4-Tracks_Roads'!$A$9:$BN$9,1),FALSE),0)+IFERROR(VLOOKUP($B16,'RA5-ROM'!$A$11:$BN$18,MATCH(Summary!AM$1,'RA5-ROM'!$A$9:$BN$9,1),FALSE),0)+IFERROR(VLOOKUP($B16,'RA6-CHPP'!$A$11:$BN$18,MATCH(Summary!AM$1,'RA6-CHPP'!$A$9:$BN$9,1),FALSE),0)+IFERROR(VLOOKUP($B16,'RA7-Mine Infrastructure Area'!$A$11:$BN$18,MATCH(Summary!AM$1,'RA7-Mine Infrastructure Area'!$A$9:$BN$9,1),FALSE),0)+IFERROR(VLOOKUP($B16,'RA8-Water Management Structures'!$A$11:$BN$18,MATCH(Summary!AM$1,'RA8-Water Management Structures'!$A$9:$BN$9,1),FALSE),0)+IFERROR(VLOOKUP($B16,'RA9-Codisposal Upper'!$A$11:$BN$18,MATCH(Summary!AM$1,'RA9-Codisposal Upper'!$A$9:$BN$9,1),FALSE),0)+IFERROR(VLOOKUP($B16,'RA10-Codisposal Slopes'!$A$11:$BN$18,MATCH(Summary!AM$1,'RA10-Codisposal Slopes'!$A$9:$BN$9,1),FALSE),0)+IFERROR(VLOOKUP($B16,'IA1-Final Void inc Ramps'!$A$11:$BN$18,MATCH(Summary!AM$1,'IA1-Final Void inc Ramps'!$A$9:$BN$9,1),FALSE),0)</f>
        <v>1901.2130000000002</v>
      </c>
      <c r="AN16" s="47">
        <f>IFERROR(VLOOKUP($B16,'RA1- Elevated Dumps Upper'!$A$11:$BN$18,MATCH(Summary!AN$1,'RA1- Elevated Dumps Upper'!$A$9:$BN$9,1),FALSE),0)+IFERROR(VLOOKUP($B16,'RA2-Elevated Dumps Slopes'!$A$11:$BN$18,MATCH(Summary!AN$1,'RA2-Elevated Dumps Slopes'!$A$9:$BN$9,1),FALSE),0)+IFERROR(VLOOKUP($B16,'RA3-Backfilled Pits'!$A$11:$BN$18,MATCH(Summary!AN$1,'RA3-Backfilled Pits'!$A$9:$BN$9,1),FALSE),0)+IFERROR(VLOOKUP($B16,'RA4-Tracks_Roads'!$A$11:$BN$18,MATCH(Summary!AN$1,'RA4-Tracks_Roads'!$A$9:$BN$9,1),FALSE),0)+IFERROR(VLOOKUP($B16,'RA5-ROM'!$A$11:$BN$18,MATCH(Summary!AN$1,'RA5-ROM'!$A$9:$BN$9,1),FALSE),0)+IFERROR(VLOOKUP($B16,'RA6-CHPP'!$A$11:$BN$18,MATCH(Summary!AN$1,'RA6-CHPP'!$A$9:$BN$9,1),FALSE),0)+IFERROR(VLOOKUP($B16,'RA7-Mine Infrastructure Area'!$A$11:$BN$18,MATCH(Summary!AN$1,'RA7-Mine Infrastructure Area'!$A$9:$BN$9,1),FALSE),0)+IFERROR(VLOOKUP($B16,'RA8-Water Management Structures'!$A$11:$BN$18,MATCH(Summary!AN$1,'RA8-Water Management Structures'!$A$9:$BN$9,1),FALSE),0)+IFERROR(VLOOKUP($B16,'RA9-Codisposal Upper'!$A$11:$BN$18,MATCH(Summary!AN$1,'RA9-Codisposal Upper'!$A$9:$BN$9,1),FALSE),0)+IFERROR(VLOOKUP($B16,'RA10-Codisposal Slopes'!$A$11:$BN$18,MATCH(Summary!AN$1,'RA10-Codisposal Slopes'!$A$9:$BN$9,1),FALSE),0)+IFERROR(VLOOKUP($B16,'IA1-Final Void inc Ramps'!$A$11:$BN$18,MATCH(Summary!AN$1,'IA1-Final Void inc Ramps'!$A$9:$BN$9,1),FALSE),0)</f>
        <v>1901.2130000000002</v>
      </c>
      <c r="AO16" s="47">
        <f>IFERROR(VLOOKUP($B16,'RA1- Elevated Dumps Upper'!$A$11:$BN$18,MATCH(Summary!AO$1,'RA1- Elevated Dumps Upper'!$A$9:$BN$9,1),FALSE),0)+IFERROR(VLOOKUP($B16,'RA2-Elevated Dumps Slopes'!$A$11:$BN$18,MATCH(Summary!AO$1,'RA2-Elevated Dumps Slopes'!$A$9:$BN$9,1),FALSE),0)+IFERROR(VLOOKUP($B16,'RA3-Backfilled Pits'!$A$11:$BN$18,MATCH(Summary!AO$1,'RA3-Backfilled Pits'!$A$9:$BN$9,1),FALSE),0)+IFERROR(VLOOKUP($B16,'RA4-Tracks_Roads'!$A$11:$BN$18,MATCH(Summary!AO$1,'RA4-Tracks_Roads'!$A$9:$BN$9,1),FALSE),0)+IFERROR(VLOOKUP($B16,'RA5-ROM'!$A$11:$BN$18,MATCH(Summary!AO$1,'RA5-ROM'!$A$9:$BN$9,1),FALSE),0)+IFERROR(VLOOKUP($B16,'RA6-CHPP'!$A$11:$BN$18,MATCH(Summary!AO$1,'RA6-CHPP'!$A$9:$BN$9,1),FALSE),0)+IFERROR(VLOOKUP($B16,'RA7-Mine Infrastructure Area'!$A$11:$BN$18,MATCH(Summary!AO$1,'RA7-Mine Infrastructure Area'!$A$9:$BN$9,1),FALSE),0)+IFERROR(VLOOKUP($B16,'RA8-Water Management Structures'!$A$11:$BN$18,MATCH(Summary!AO$1,'RA8-Water Management Structures'!$A$9:$BN$9,1),FALSE),0)+IFERROR(VLOOKUP($B16,'RA9-Codisposal Upper'!$A$11:$BN$18,MATCH(Summary!AO$1,'RA9-Codisposal Upper'!$A$9:$BN$9,1),FALSE),0)+IFERROR(VLOOKUP($B16,'RA10-Codisposal Slopes'!$A$11:$BN$18,MATCH(Summary!AO$1,'RA10-Codisposal Slopes'!$A$9:$BN$9,1),FALSE),0)+IFERROR(VLOOKUP($B16,'IA1-Final Void inc Ramps'!$A$11:$BN$18,MATCH(Summary!AO$1,'IA1-Final Void inc Ramps'!$A$9:$BN$9,1),FALSE),0)</f>
        <v>1901.2130000000002</v>
      </c>
      <c r="AP16" s="47">
        <f>IFERROR(VLOOKUP($B16,'RA1- Elevated Dumps Upper'!$A$11:$BN$18,MATCH(Summary!AP$1,'RA1- Elevated Dumps Upper'!$A$9:$BN$9,1),FALSE),0)+IFERROR(VLOOKUP($B16,'RA2-Elevated Dumps Slopes'!$A$11:$BN$18,MATCH(Summary!AP$1,'RA2-Elevated Dumps Slopes'!$A$9:$BN$9,1),FALSE),0)+IFERROR(VLOOKUP($B16,'RA3-Backfilled Pits'!$A$11:$BN$18,MATCH(Summary!AP$1,'RA3-Backfilled Pits'!$A$9:$BN$9,1),FALSE),0)+IFERROR(VLOOKUP($B16,'RA4-Tracks_Roads'!$A$11:$BN$18,MATCH(Summary!AP$1,'RA4-Tracks_Roads'!$A$9:$BN$9,1),FALSE),0)+IFERROR(VLOOKUP($B16,'RA5-ROM'!$A$11:$BN$18,MATCH(Summary!AP$1,'RA5-ROM'!$A$9:$BN$9,1),FALSE),0)+IFERROR(VLOOKUP($B16,'RA6-CHPP'!$A$11:$BN$18,MATCH(Summary!AP$1,'RA6-CHPP'!$A$9:$BN$9,1),FALSE),0)+IFERROR(VLOOKUP($B16,'RA7-Mine Infrastructure Area'!$A$11:$BN$18,MATCH(Summary!AP$1,'RA7-Mine Infrastructure Area'!$A$9:$BN$9,1),FALSE),0)+IFERROR(VLOOKUP($B16,'RA8-Water Management Structures'!$A$11:$BN$18,MATCH(Summary!AP$1,'RA8-Water Management Structures'!$A$9:$BN$9,1),FALSE),0)+IFERROR(VLOOKUP($B16,'RA9-Codisposal Upper'!$A$11:$BN$18,MATCH(Summary!AP$1,'RA9-Codisposal Upper'!$A$9:$BN$9,1),FALSE),0)+IFERROR(VLOOKUP($B16,'RA10-Codisposal Slopes'!$A$11:$BN$18,MATCH(Summary!AP$1,'RA10-Codisposal Slopes'!$A$9:$BN$9,1),FALSE),0)+IFERROR(VLOOKUP($B16,'IA1-Final Void inc Ramps'!$A$11:$BN$18,MATCH(Summary!AP$1,'IA1-Final Void inc Ramps'!$A$9:$BN$9,1),FALSE),0)</f>
        <v>1901.2130000000002</v>
      </c>
      <c r="AQ16" s="47">
        <f>IFERROR(VLOOKUP($B16,'RA1- Elevated Dumps Upper'!$A$11:$BN$18,MATCH(Summary!AQ$1,'RA1- Elevated Dumps Upper'!$A$9:$BN$9,1),FALSE),0)+IFERROR(VLOOKUP($B16,'RA2-Elevated Dumps Slopes'!$A$11:$BN$18,MATCH(Summary!AQ$1,'RA2-Elevated Dumps Slopes'!$A$9:$BN$9,1),FALSE),0)+IFERROR(VLOOKUP($B16,'RA3-Backfilled Pits'!$A$11:$BN$18,MATCH(Summary!AQ$1,'RA3-Backfilled Pits'!$A$9:$BN$9,1),FALSE),0)+IFERROR(VLOOKUP($B16,'RA4-Tracks_Roads'!$A$11:$BN$18,MATCH(Summary!AQ$1,'RA4-Tracks_Roads'!$A$9:$BN$9,1),FALSE),0)+IFERROR(VLOOKUP($B16,'RA5-ROM'!$A$11:$BN$18,MATCH(Summary!AQ$1,'RA5-ROM'!$A$9:$BN$9,1),FALSE),0)+IFERROR(VLOOKUP($B16,'RA6-CHPP'!$A$11:$BN$18,MATCH(Summary!AQ$1,'RA6-CHPP'!$A$9:$BN$9,1),FALSE),0)+IFERROR(VLOOKUP($B16,'RA7-Mine Infrastructure Area'!$A$11:$BN$18,MATCH(Summary!AQ$1,'RA7-Mine Infrastructure Area'!$A$9:$BN$9,1),FALSE),0)+IFERROR(VLOOKUP($B16,'RA8-Water Management Structures'!$A$11:$BN$18,MATCH(Summary!AQ$1,'RA8-Water Management Structures'!$A$9:$BN$9,1),FALSE),0)+IFERROR(VLOOKUP($B16,'RA9-Codisposal Upper'!$A$11:$BN$18,MATCH(Summary!AQ$1,'RA9-Codisposal Upper'!$A$9:$BN$9,1),FALSE),0)+IFERROR(VLOOKUP($B16,'RA10-Codisposal Slopes'!$A$11:$BN$18,MATCH(Summary!AQ$1,'RA10-Codisposal Slopes'!$A$9:$BN$9,1),FALSE),0)+IFERROR(VLOOKUP($B16,'IA1-Final Void inc Ramps'!$A$11:$BN$18,MATCH(Summary!AQ$1,'IA1-Final Void inc Ramps'!$A$9:$BN$9,1),FALSE),0)</f>
        <v>1901.2130000000002</v>
      </c>
      <c r="AR16" s="47">
        <f>IFERROR(VLOOKUP($B16,'RA1- Elevated Dumps Upper'!$A$11:$BN$18,MATCH(Summary!AR$1,'RA1- Elevated Dumps Upper'!$A$9:$BN$9,1),FALSE),0)+IFERROR(VLOOKUP($B16,'RA2-Elevated Dumps Slopes'!$A$11:$BN$18,MATCH(Summary!AR$1,'RA2-Elevated Dumps Slopes'!$A$9:$BN$9,1),FALSE),0)+IFERROR(VLOOKUP($B16,'RA3-Backfilled Pits'!$A$11:$BN$18,MATCH(Summary!AR$1,'RA3-Backfilled Pits'!$A$9:$BN$9,1),FALSE),0)+IFERROR(VLOOKUP($B16,'RA4-Tracks_Roads'!$A$11:$BN$18,MATCH(Summary!AR$1,'RA4-Tracks_Roads'!$A$9:$BN$9,1),FALSE),0)+IFERROR(VLOOKUP($B16,'RA5-ROM'!$A$11:$BN$18,MATCH(Summary!AR$1,'RA5-ROM'!$A$9:$BN$9,1),FALSE),0)+IFERROR(VLOOKUP($B16,'RA6-CHPP'!$A$11:$BN$18,MATCH(Summary!AR$1,'RA6-CHPP'!$A$9:$BN$9,1),FALSE),0)+IFERROR(VLOOKUP($B16,'RA7-Mine Infrastructure Area'!$A$11:$BN$18,MATCH(Summary!AR$1,'RA7-Mine Infrastructure Area'!$A$9:$BN$9,1),FALSE),0)+IFERROR(VLOOKUP($B16,'RA8-Water Management Structures'!$A$11:$BN$18,MATCH(Summary!AR$1,'RA8-Water Management Structures'!$A$9:$BN$9,1),FALSE),0)+IFERROR(VLOOKUP($B16,'RA9-Codisposal Upper'!$A$11:$BN$18,MATCH(Summary!AR$1,'RA9-Codisposal Upper'!$A$9:$BN$9,1),FALSE),0)+IFERROR(VLOOKUP($B16,'RA10-Codisposal Slopes'!$A$11:$BN$18,MATCH(Summary!AR$1,'RA10-Codisposal Slopes'!$A$9:$BN$9,1),FALSE),0)+IFERROR(VLOOKUP($B16,'IA1-Final Void inc Ramps'!$A$11:$BN$18,MATCH(Summary!AR$1,'IA1-Final Void inc Ramps'!$A$9:$BN$9,1),FALSE),0)</f>
        <v>1901.2130000000002</v>
      </c>
      <c r="AS16" s="47">
        <f>IFERROR(VLOOKUP($B16,'RA1- Elevated Dumps Upper'!$A$11:$BN$18,MATCH(Summary!AS$1,'RA1- Elevated Dumps Upper'!$A$9:$BN$9,1),FALSE),0)+IFERROR(VLOOKUP($B16,'RA2-Elevated Dumps Slopes'!$A$11:$BN$18,MATCH(Summary!AS$1,'RA2-Elevated Dumps Slopes'!$A$9:$BN$9,1),FALSE),0)+IFERROR(VLOOKUP($B16,'RA3-Backfilled Pits'!$A$11:$BN$18,MATCH(Summary!AS$1,'RA3-Backfilled Pits'!$A$9:$BN$9,1),FALSE),0)+IFERROR(VLOOKUP($B16,'RA4-Tracks_Roads'!$A$11:$BN$18,MATCH(Summary!AS$1,'RA4-Tracks_Roads'!$A$9:$BN$9,1),FALSE),0)+IFERROR(VLOOKUP($B16,'RA5-ROM'!$A$11:$BN$18,MATCH(Summary!AS$1,'RA5-ROM'!$A$9:$BN$9,1),FALSE),0)+IFERROR(VLOOKUP($B16,'RA6-CHPP'!$A$11:$BN$18,MATCH(Summary!AS$1,'RA6-CHPP'!$A$9:$BN$9,1),FALSE),0)+IFERROR(VLOOKUP($B16,'RA7-Mine Infrastructure Area'!$A$11:$BN$18,MATCH(Summary!AS$1,'RA7-Mine Infrastructure Area'!$A$9:$BN$9,1),FALSE),0)+IFERROR(VLOOKUP($B16,'RA8-Water Management Structures'!$A$11:$BN$18,MATCH(Summary!AS$1,'RA8-Water Management Structures'!$A$9:$BN$9,1),FALSE),0)+IFERROR(VLOOKUP($B16,'RA9-Codisposal Upper'!$A$11:$BN$18,MATCH(Summary!AS$1,'RA9-Codisposal Upper'!$A$9:$BN$9,1),FALSE),0)+IFERROR(VLOOKUP($B16,'RA10-Codisposal Slopes'!$A$11:$BN$18,MATCH(Summary!AS$1,'RA10-Codisposal Slopes'!$A$9:$BN$9,1),FALSE),0)+IFERROR(VLOOKUP($B16,'IA1-Final Void inc Ramps'!$A$11:$BN$18,MATCH(Summary!AS$1,'IA1-Final Void inc Ramps'!$A$9:$BN$9,1),FALSE),0)</f>
        <v>1901.2130000000002</v>
      </c>
      <c r="AT16" s="47">
        <f>IFERROR(VLOOKUP($B16,'RA1- Elevated Dumps Upper'!$A$11:$BN$18,MATCH(Summary!AT$1,'RA1- Elevated Dumps Upper'!$A$9:$BN$9,1),FALSE),0)+IFERROR(VLOOKUP($B16,'RA2-Elevated Dumps Slopes'!$A$11:$BN$18,MATCH(Summary!AT$1,'RA2-Elevated Dumps Slopes'!$A$9:$BN$9,1),FALSE),0)+IFERROR(VLOOKUP($B16,'RA3-Backfilled Pits'!$A$11:$BN$18,MATCH(Summary!AT$1,'RA3-Backfilled Pits'!$A$9:$BN$9,1),FALSE),0)+IFERROR(VLOOKUP($B16,'RA4-Tracks_Roads'!$A$11:$BN$18,MATCH(Summary!AT$1,'RA4-Tracks_Roads'!$A$9:$BN$9,1),FALSE),0)+IFERROR(VLOOKUP($B16,'RA5-ROM'!$A$11:$BN$18,MATCH(Summary!AT$1,'RA5-ROM'!$A$9:$BN$9,1),FALSE),0)+IFERROR(VLOOKUP($B16,'RA6-CHPP'!$A$11:$BN$18,MATCH(Summary!AT$1,'RA6-CHPP'!$A$9:$BN$9,1),FALSE),0)+IFERROR(VLOOKUP($B16,'RA7-Mine Infrastructure Area'!$A$11:$BN$18,MATCH(Summary!AT$1,'RA7-Mine Infrastructure Area'!$A$9:$BN$9,1),FALSE),0)+IFERROR(VLOOKUP($B16,'RA8-Water Management Structures'!$A$11:$BN$18,MATCH(Summary!AT$1,'RA8-Water Management Structures'!$A$9:$BN$9,1),FALSE),0)+IFERROR(VLOOKUP($B16,'RA9-Codisposal Upper'!$A$11:$BN$18,MATCH(Summary!AT$1,'RA9-Codisposal Upper'!$A$9:$BN$9,1),FALSE),0)+IFERROR(VLOOKUP($B16,'RA10-Codisposal Slopes'!$A$11:$BN$18,MATCH(Summary!AT$1,'RA10-Codisposal Slopes'!$A$9:$BN$9,1),FALSE),0)+IFERROR(VLOOKUP($B16,'IA1-Final Void inc Ramps'!$A$11:$BN$18,MATCH(Summary!AT$1,'IA1-Final Void inc Ramps'!$A$9:$BN$9,1),FALSE),0)</f>
        <v>1901.2130000000002</v>
      </c>
      <c r="AU16" s="47">
        <f>IFERROR(VLOOKUP($B16,'RA1- Elevated Dumps Upper'!$A$11:$BN$18,MATCH(Summary!AU$1,'RA1- Elevated Dumps Upper'!$A$9:$BN$9,1),FALSE),0)+IFERROR(VLOOKUP($B16,'RA2-Elevated Dumps Slopes'!$A$11:$BN$18,MATCH(Summary!AU$1,'RA2-Elevated Dumps Slopes'!$A$9:$BN$9,1),FALSE),0)+IFERROR(VLOOKUP($B16,'RA3-Backfilled Pits'!$A$11:$BN$18,MATCH(Summary!AU$1,'RA3-Backfilled Pits'!$A$9:$BN$9,1),FALSE),0)+IFERROR(VLOOKUP($B16,'RA4-Tracks_Roads'!$A$11:$BN$18,MATCH(Summary!AU$1,'RA4-Tracks_Roads'!$A$9:$BN$9,1),FALSE),0)+IFERROR(VLOOKUP($B16,'RA5-ROM'!$A$11:$BN$18,MATCH(Summary!AU$1,'RA5-ROM'!$A$9:$BN$9,1),FALSE),0)+IFERROR(VLOOKUP($B16,'RA6-CHPP'!$A$11:$BN$18,MATCH(Summary!AU$1,'RA6-CHPP'!$A$9:$BN$9,1),FALSE),0)+IFERROR(VLOOKUP($B16,'RA7-Mine Infrastructure Area'!$A$11:$BN$18,MATCH(Summary!AU$1,'RA7-Mine Infrastructure Area'!$A$9:$BN$9,1),FALSE),0)+IFERROR(VLOOKUP($B16,'RA8-Water Management Structures'!$A$11:$BN$18,MATCH(Summary!AU$1,'RA8-Water Management Structures'!$A$9:$BN$9,1),FALSE),0)+IFERROR(VLOOKUP($B16,'RA9-Codisposal Upper'!$A$11:$BN$18,MATCH(Summary!AU$1,'RA9-Codisposal Upper'!$A$9:$BN$9,1),FALSE),0)+IFERROR(VLOOKUP($B16,'RA10-Codisposal Slopes'!$A$11:$BN$18,MATCH(Summary!AU$1,'RA10-Codisposal Slopes'!$A$9:$BN$9,1),FALSE),0)+IFERROR(VLOOKUP($B16,'IA1-Final Void inc Ramps'!$A$11:$BN$18,MATCH(Summary!AU$1,'IA1-Final Void inc Ramps'!$A$9:$BN$9,1),FALSE),0)</f>
        <v>1901.2130000000002</v>
      </c>
      <c r="AV16" s="47">
        <f>IFERROR(VLOOKUP($B16,'RA1- Elevated Dumps Upper'!$A$11:$BN$18,MATCH(Summary!AV$1,'RA1- Elevated Dumps Upper'!$A$9:$BN$9,1),FALSE),0)+IFERROR(VLOOKUP($B16,'RA2-Elevated Dumps Slopes'!$A$11:$BN$18,MATCH(Summary!AV$1,'RA2-Elevated Dumps Slopes'!$A$9:$BN$9,1),FALSE),0)+IFERROR(VLOOKUP($B16,'RA3-Backfilled Pits'!$A$11:$BN$18,MATCH(Summary!AV$1,'RA3-Backfilled Pits'!$A$9:$BN$9,1),FALSE),0)+IFERROR(VLOOKUP($B16,'RA4-Tracks_Roads'!$A$11:$BN$18,MATCH(Summary!AV$1,'RA4-Tracks_Roads'!$A$9:$BN$9,1),FALSE),0)+IFERROR(VLOOKUP($B16,'RA5-ROM'!$A$11:$BN$18,MATCH(Summary!AV$1,'RA5-ROM'!$A$9:$BN$9,1),FALSE),0)+IFERROR(VLOOKUP($B16,'RA6-CHPP'!$A$11:$BN$18,MATCH(Summary!AV$1,'RA6-CHPP'!$A$9:$BN$9,1),FALSE),0)+IFERROR(VLOOKUP($B16,'RA7-Mine Infrastructure Area'!$A$11:$BN$18,MATCH(Summary!AV$1,'RA7-Mine Infrastructure Area'!$A$9:$BN$9,1),FALSE),0)+IFERROR(VLOOKUP($B16,'RA8-Water Management Structures'!$A$11:$BN$18,MATCH(Summary!AV$1,'RA8-Water Management Structures'!$A$9:$BN$9,1),FALSE),0)+IFERROR(VLOOKUP($B16,'RA9-Codisposal Upper'!$A$11:$BN$18,MATCH(Summary!AV$1,'RA9-Codisposal Upper'!$A$9:$BN$9,1),FALSE),0)+IFERROR(VLOOKUP($B16,'RA10-Codisposal Slopes'!$A$11:$BN$18,MATCH(Summary!AV$1,'RA10-Codisposal Slopes'!$A$9:$BN$9,1),FALSE),0)+IFERROR(VLOOKUP($B16,'IA1-Final Void inc Ramps'!$A$11:$BN$18,MATCH(Summary!AV$1,'IA1-Final Void inc Ramps'!$A$9:$BN$9,1),FALSE),0)</f>
        <v>1901.2130000000002</v>
      </c>
      <c r="AW16" s="47">
        <f>IFERROR(VLOOKUP($B16,'RA1- Elevated Dumps Upper'!$A$11:$BN$18,MATCH(Summary!AW$1,'RA1- Elevated Dumps Upper'!$A$9:$BN$9,1),FALSE),0)+IFERROR(VLOOKUP($B16,'RA2-Elevated Dumps Slopes'!$A$11:$BN$18,MATCH(Summary!AW$1,'RA2-Elevated Dumps Slopes'!$A$9:$BN$9,1),FALSE),0)+IFERROR(VLOOKUP($B16,'RA3-Backfilled Pits'!$A$11:$BN$18,MATCH(Summary!AW$1,'RA3-Backfilled Pits'!$A$9:$BN$9,1),FALSE),0)+IFERROR(VLOOKUP($B16,'RA4-Tracks_Roads'!$A$11:$BN$18,MATCH(Summary!AW$1,'RA4-Tracks_Roads'!$A$9:$BN$9,1),FALSE),0)+IFERROR(VLOOKUP($B16,'RA5-ROM'!$A$11:$BN$18,MATCH(Summary!AW$1,'RA5-ROM'!$A$9:$BN$9,1),FALSE),0)+IFERROR(VLOOKUP($B16,'RA6-CHPP'!$A$11:$BN$18,MATCH(Summary!AW$1,'RA6-CHPP'!$A$9:$BN$9,1),FALSE),0)+IFERROR(VLOOKUP($B16,'RA7-Mine Infrastructure Area'!$A$11:$BN$18,MATCH(Summary!AW$1,'RA7-Mine Infrastructure Area'!$A$9:$BN$9,1),FALSE),0)+IFERROR(VLOOKUP($B16,'RA8-Water Management Structures'!$A$11:$BN$18,MATCH(Summary!AW$1,'RA8-Water Management Structures'!$A$9:$BN$9,1),FALSE),0)+IFERROR(VLOOKUP($B16,'RA9-Codisposal Upper'!$A$11:$BN$18,MATCH(Summary!AW$1,'RA9-Codisposal Upper'!$A$9:$BN$9,1),FALSE),0)+IFERROR(VLOOKUP($B16,'RA10-Codisposal Slopes'!$A$11:$BN$18,MATCH(Summary!AW$1,'RA10-Codisposal Slopes'!$A$9:$BN$9,1),FALSE),0)+IFERROR(VLOOKUP($B16,'IA1-Final Void inc Ramps'!$A$11:$BN$18,MATCH(Summary!AW$1,'IA1-Final Void inc Ramps'!$A$9:$BN$9,1),FALSE),0)</f>
        <v>1901.2130000000002</v>
      </c>
      <c r="AX16" s="47">
        <f>IFERROR(VLOOKUP($B16,'RA1- Elevated Dumps Upper'!$A$11:$BN$18,MATCH(Summary!AX$1,'RA1- Elevated Dumps Upper'!$A$9:$BN$9,1),FALSE),0)+IFERROR(VLOOKUP($B16,'RA2-Elevated Dumps Slopes'!$A$11:$BN$18,MATCH(Summary!AX$1,'RA2-Elevated Dumps Slopes'!$A$9:$BN$9,1),FALSE),0)+IFERROR(VLOOKUP($B16,'RA3-Backfilled Pits'!$A$11:$BN$18,MATCH(Summary!AX$1,'RA3-Backfilled Pits'!$A$9:$BN$9,1),FALSE),0)+IFERROR(VLOOKUP($B16,'RA4-Tracks_Roads'!$A$11:$BN$18,MATCH(Summary!AX$1,'RA4-Tracks_Roads'!$A$9:$BN$9,1),FALSE),0)+IFERROR(VLOOKUP($B16,'RA5-ROM'!$A$11:$BN$18,MATCH(Summary!AX$1,'RA5-ROM'!$A$9:$BN$9,1),FALSE),0)+IFERROR(VLOOKUP($B16,'RA6-CHPP'!$A$11:$BN$18,MATCH(Summary!AX$1,'RA6-CHPP'!$A$9:$BN$9,1),FALSE),0)+IFERROR(VLOOKUP($B16,'RA7-Mine Infrastructure Area'!$A$11:$BN$18,MATCH(Summary!AX$1,'RA7-Mine Infrastructure Area'!$A$9:$BN$9,1),FALSE),0)+IFERROR(VLOOKUP($B16,'RA8-Water Management Structures'!$A$11:$BN$18,MATCH(Summary!AX$1,'RA8-Water Management Structures'!$A$9:$BN$9,1),FALSE),0)+IFERROR(VLOOKUP($B16,'RA9-Codisposal Upper'!$A$11:$BN$18,MATCH(Summary!AX$1,'RA9-Codisposal Upper'!$A$9:$BN$9,1),FALSE),0)+IFERROR(VLOOKUP($B16,'RA10-Codisposal Slopes'!$A$11:$BN$18,MATCH(Summary!AX$1,'RA10-Codisposal Slopes'!$A$9:$BN$9,1),FALSE),0)+IFERROR(VLOOKUP($B16,'IA1-Final Void inc Ramps'!$A$11:$BN$18,MATCH(Summary!AX$1,'IA1-Final Void inc Ramps'!$A$9:$BN$9,1),FALSE),0)</f>
        <v>1901.2130000000002</v>
      </c>
      <c r="AY16" s="47">
        <f>IFERROR(VLOOKUP($B16,'RA1- Elevated Dumps Upper'!$A$11:$BN$18,MATCH(Summary!AY$1,'RA1- Elevated Dumps Upper'!$A$9:$BN$9,1),FALSE),0)+IFERROR(VLOOKUP($B16,'RA2-Elevated Dumps Slopes'!$A$11:$BN$18,MATCH(Summary!AY$1,'RA2-Elevated Dumps Slopes'!$A$9:$BN$9,1),FALSE),0)+IFERROR(VLOOKUP($B16,'RA3-Backfilled Pits'!$A$11:$BN$18,MATCH(Summary!AY$1,'RA3-Backfilled Pits'!$A$9:$BN$9,1),FALSE),0)+IFERROR(VLOOKUP($B16,'RA4-Tracks_Roads'!$A$11:$BN$18,MATCH(Summary!AY$1,'RA4-Tracks_Roads'!$A$9:$BN$9,1),FALSE),0)+IFERROR(VLOOKUP($B16,'RA5-ROM'!$A$11:$BN$18,MATCH(Summary!AY$1,'RA5-ROM'!$A$9:$BN$9,1),FALSE),0)+IFERROR(VLOOKUP($B16,'RA6-CHPP'!$A$11:$BN$18,MATCH(Summary!AY$1,'RA6-CHPP'!$A$9:$BN$9,1),FALSE),0)+IFERROR(VLOOKUP($B16,'RA7-Mine Infrastructure Area'!$A$11:$BN$18,MATCH(Summary!AY$1,'RA7-Mine Infrastructure Area'!$A$9:$BN$9,1),FALSE),0)+IFERROR(VLOOKUP($B16,'RA8-Water Management Structures'!$A$11:$BN$18,MATCH(Summary!AY$1,'RA8-Water Management Structures'!$A$9:$BN$9,1),FALSE),0)+IFERROR(VLOOKUP($B16,'RA9-Codisposal Upper'!$A$11:$BN$18,MATCH(Summary!AY$1,'RA9-Codisposal Upper'!$A$9:$BN$9,1),FALSE),0)+IFERROR(VLOOKUP($B16,'RA10-Codisposal Slopes'!$A$11:$BN$18,MATCH(Summary!AY$1,'RA10-Codisposal Slopes'!$A$9:$BN$9,1),FALSE),0)+IFERROR(VLOOKUP($B16,'IA1-Final Void inc Ramps'!$A$11:$BN$18,MATCH(Summary!AY$1,'IA1-Final Void inc Ramps'!$A$9:$BN$9,1),FALSE),0)</f>
        <v>1901.2130000000002</v>
      </c>
      <c r="AZ16" s="47">
        <f>IFERROR(VLOOKUP($B16,'RA1- Elevated Dumps Upper'!$A$11:$BN$18,MATCH(Summary!AZ$1,'RA1- Elevated Dumps Upper'!$A$9:$BN$9,1),FALSE),0)+IFERROR(VLOOKUP($B16,'RA2-Elevated Dumps Slopes'!$A$11:$BN$18,MATCH(Summary!AZ$1,'RA2-Elevated Dumps Slopes'!$A$9:$BN$9,1),FALSE),0)+IFERROR(VLOOKUP($B16,'RA3-Backfilled Pits'!$A$11:$BN$18,MATCH(Summary!AZ$1,'RA3-Backfilled Pits'!$A$9:$BN$9,1),FALSE),0)+IFERROR(VLOOKUP($B16,'RA4-Tracks_Roads'!$A$11:$BN$18,MATCH(Summary!AZ$1,'RA4-Tracks_Roads'!$A$9:$BN$9,1),FALSE),0)+IFERROR(VLOOKUP($B16,'RA5-ROM'!$A$11:$BN$18,MATCH(Summary!AZ$1,'RA5-ROM'!$A$9:$BN$9,1),FALSE),0)+IFERROR(VLOOKUP($B16,'RA6-CHPP'!$A$11:$BN$18,MATCH(Summary!AZ$1,'RA6-CHPP'!$A$9:$BN$9,1),FALSE),0)+IFERROR(VLOOKUP($B16,'RA7-Mine Infrastructure Area'!$A$11:$BN$18,MATCH(Summary!AZ$1,'RA7-Mine Infrastructure Area'!$A$9:$BN$9,1),FALSE),0)+IFERROR(VLOOKUP($B16,'RA8-Water Management Structures'!$A$11:$BN$18,MATCH(Summary!AZ$1,'RA8-Water Management Structures'!$A$9:$BN$9,1),FALSE),0)+IFERROR(VLOOKUP($B16,'RA9-Codisposal Upper'!$A$11:$BN$18,MATCH(Summary!AZ$1,'RA9-Codisposal Upper'!$A$9:$BN$9,1),FALSE),0)+IFERROR(VLOOKUP($B16,'RA10-Codisposal Slopes'!$A$11:$BN$18,MATCH(Summary!AZ$1,'RA10-Codisposal Slopes'!$A$9:$BN$9,1),FALSE),0)+IFERROR(VLOOKUP($B16,'IA1-Final Void inc Ramps'!$A$11:$BN$18,MATCH(Summary!AZ$1,'IA1-Final Void inc Ramps'!$A$9:$BN$9,1),FALSE),0)</f>
        <v>1901.2130000000002</v>
      </c>
      <c r="BA16" s="47">
        <f>IFERROR(VLOOKUP($B16,'RA1- Elevated Dumps Upper'!$A$11:$BN$18,MATCH(Summary!BA$1,'RA1- Elevated Dumps Upper'!$A$9:$BN$9,1),FALSE),0)+IFERROR(VLOOKUP($B16,'RA2-Elevated Dumps Slopes'!$A$11:$BN$18,MATCH(Summary!BA$1,'RA2-Elevated Dumps Slopes'!$A$9:$BN$9,1),FALSE),0)+IFERROR(VLOOKUP($B16,'RA3-Backfilled Pits'!$A$11:$BN$18,MATCH(Summary!BA$1,'RA3-Backfilled Pits'!$A$9:$BN$9,1),FALSE),0)+IFERROR(VLOOKUP($B16,'RA4-Tracks_Roads'!$A$11:$BN$18,MATCH(Summary!BA$1,'RA4-Tracks_Roads'!$A$9:$BN$9,1),FALSE),0)+IFERROR(VLOOKUP($B16,'RA5-ROM'!$A$11:$BN$18,MATCH(Summary!BA$1,'RA5-ROM'!$A$9:$BN$9,1),FALSE),0)+IFERROR(VLOOKUP($B16,'RA6-CHPP'!$A$11:$BN$18,MATCH(Summary!BA$1,'RA6-CHPP'!$A$9:$BN$9,1),FALSE),0)+IFERROR(VLOOKUP($B16,'RA7-Mine Infrastructure Area'!$A$11:$BN$18,MATCH(Summary!BA$1,'RA7-Mine Infrastructure Area'!$A$9:$BN$9,1),FALSE),0)+IFERROR(VLOOKUP($B16,'RA8-Water Management Structures'!$A$11:$BN$18,MATCH(Summary!BA$1,'RA8-Water Management Structures'!$A$9:$BN$9,1),FALSE),0)+IFERROR(VLOOKUP($B16,'RA9-Codisposal Upper'!$A$11:$BN$18,MATCH(Summary!BA$1,'RA9-Codisposal Upper'!$A$9:$BN$9,1),FALSE),0)+IFERROR(VLOOKUP($B16,'RA10-Codisposal Slopes'!$A$11:$BN$18,MATCH(Summary!BA$1,'RA10-Codisposal Slopes'!$A$9:$BN$9,1),FALSE),0)+IFERROR(VLOOKUP($B16,'IA1-Final Void inc Ramps'!$A$11:$BN$18,MATCH(Summary!BA$1,'IA1-Final Void inc Ramps'!$A$9:$BN$9,1),FALSE),0)</f>
        <v>1901.2130000000002</v>
      </c>
      <c r="BB16" s="47">
        <f>IFERROR(VLOOKUP($B16,'RA1- Elevated Dumps Upper'!$A$11:$BN$18,MATCH(Summary!BB$1,'RA1- Elevated Dumps Upper'!$A$9:$BN$9,1),FALSE),0)+IFERROR(VLOOKUP($B16,'RA2-Elevated Dumps Slopes'!$A$11:$BN$18,MATCH(Summary!BB$1,'RA2-Elevated Dumps Slopes'!$A$9:$BN$9,1),FALSE),0)+IFERROR(VLOOKUP($B16,'RA3-Backfilled Pits'!$A$11:$BN$18,MATCH(Summary!BB$1,'RA3-Backfilled Pits'!$A$9:$BN$9,1),FALSE),0)+IFERROR(VLOOKUP($B16,'RA4-Tracks_Roads'!$A$11:$BN$18,MATCH(Summary!BB$1,'RA4-Tracks_Roads'!$A$9:$BN$9,1),FALSE),0)+IFERROR(VLOOKUP($B16,'RA5-ROM'!$A$11:$BN$18,MATCH(Summary!BB$1,'RA5-ROM'!$A$9:$BN$9,1),FALSE),0)+IFERROR(VLOOKUP($B16,'RA6-CHPP'!$A$11:$BN$18,MATCH(Summary!BB$1,'RA6-CHPP'!$A$9:$BN$9,1),FALSE),0)+IFERROR(VLOOKUP($B16,'RA7-Mine Infrastructure Area'!$A$11:$BN$18,MATCH(Summary!BB$1,'RA7-Mine Infrastructure Area'!$A$9:$BN$9,1),FALSE),0)+IFERROR(VLOOKUP($B16,'RA8-Water Management Structures'!$A$11:$BN$18,MATCH(Summary!BB$1,'RA8-Water Management Structures'!$A$9:$BN$9,1),FALSE),0)+IFERROR(VLOOKUP($B16,'RA9-Codisposal Upper'!$A$11:$BN$18,MATCH(Summary!BB$1,'RA9-Codisposal Upper'!$A$9:$BN$9,1),FALSE),0)+IFERROR(VLOOKUP($B16,'RA10-Codisposal Slopes'!$A$11:$BN$18,MATCH(Summary!BB$1,'RA10-Codisposal Slopes'!$A$9:$BN$9,1),FALSE),0)+IFERROR(VLOOKUP($B16,'IA1-Final Void inc Ramps'!$A$11:$BN$18,MATCH(Summary!BB$1,'IA1-Final Void inc Ramps'!$A$9:$BN$9,1),FALSE),0)</f>
        <v>1901.2130000000002</v>
      </c>
      <c r="BC16" s="47">
        <f>IFERROR(VLOOKUP($B16,'RA1- Elevated Dumps Upper'!$A$11:$BN$18,MATCH(Summary!BC$1,'RA1- Elevated Dumps Upper'!$A$9:$BN$9,1),FALSE),0)+IFERROR(VLOOKUP($B16,'RA2-Elevated Dumps Slopes'!$A$11:$BN$18,MATCH(Summary!BC$1,'RA2-Elevated Dumps Slopes'!$A$9:$BN$9,1),FALSE),0)+IFERROR(VLOOKUP($B16,'RA3-Backfilled Pits'!$A$11:$BN$18,MATCH(Summary!BC$1,'RA3-Backfilled Pits'!$A$9:$BN$9,1),FALSE),0)+IFERROR(VLOOKUP($B16,'RA4-Tracks_Roads'!$A$11:$BN$18,MATCH(Summary!BC$1,'RA4-Tracks_Roads'!$A$9:$BN$9,1),FALSE),0)+IFERROR(VLOOKUP($B16,'RA5-ROM'!$A$11:$BN$18,MATCH(Summary!BC$1,'RA5-ROM'!$A$9:$BN$9,1),FALSE),0)+IFERROR(VLOOKUP($B16,'RA6-CHPP'!$A$11:$BN$18,MATCH(Summary!BC$1,'RA6-CHPP'!$A$9:$BN$9,1),FALSE),0)+IFERROR(VLOOKUP($B16,'RA7-Mine Infrastructure Area'!$A$11:$BN$18,MATCH(Summary!BC$1,'RA7-Mine Infrastructure Area'!$A$9:$BN$9,1),FALSE),0)+IFERROR(VLOOKUP($B16,'RA8-Water Management Structures'!$A$11:$BN$18,MATCH(Summary!BC$1,'RA8-Water Management Structures'!$A$9:$BN$9,1),FALSE),0)+IFERROR(VLOOKUP($B16,'RA9-Codisposal Upper'!$A$11:$BN$18,MATCH(Summary!BC$1,'RA9-Codisposal Upper'!$A$9:$BN$9,1),FALSE),0)+IFERROR(VLOOKUP($B16,'RA10-Codisposal Slopes'!$A$11:$BN$18,MATCH(Summary!BC$1,'RA10-Codisposal Slopes'!$A$9:$BN$9,1),FALSE),0)+IFERROR(VLOOKUP($B16,'IA1-Final Void inc Ramps'!$A$11:$BN$18,MATCH(Summary!BC$1,'IA1-Final Void inc Ramps'!$A$9:$BN$9,1),FALSE),0)</f>
        <v>1901.2130000000002</v>
      </c>
      <c r="BD16" s="47">
        <f>IFERROR(VLOOKUP($B16,'RA1- Elevated Dumps Upper'!$A$11:$BN$18,MATCH(Summary!BD$1,'RA1- Elevated Dumps Upper'!$A$9:$BN$9,1),FALSE),0)+IFERROR(VLOOKUP($B16,'RA2-Elevated Dumps Slopes'!$A$11:$BN$18,MATCH(Summary!BD$1,'RA2-Elevated Dumps Slopes'!$A$9:$BN$9,1),FALSE),0)+IFERROR(VLOOKUP($B16,'RA3-Backfilled Pits'!$A$11:$BN$18,MATCH(Summary!BD$1,'RA3-Backfilled Pits'!$A$9:$BN$9,1),FALSE),0)+IFERROR(VLOOKUP($B16,'RA4-Tracks_Roads'!$A$11:$BN$18,MATCH(Summary!BD$1,'RA4-Tracks_Roads'!$A$9:$BN$9,1),FALSE),0)+IFERROR(VLOOKUP($B16,'RA5-ROM'!$A$11:$BN$18,MATCH(Summary!BD$1,'RA5-ROM'!$A$9:$BN$9,1),FALSE),0)+IFERROR(VLOOKUP($B16,'RA6-CHPP'!$A$11:$BN$18,MATCH(Summary!BD$1,'RA6-CHPP'!$A$9:$BN$9,1),FALSE),0)+IFERROR(VLOOKUP($B16,'RA7-Mine Infrastructure Area'!$A$11:$BN$18,MATCH(Summary!BD$1,'RA7-Mine Infrastructure Area'!$A$9:$BN$9,1),FALSE),0)+IFERROR(VLOOKUP($B16,'RA8-Water Management Structures'!$A$11:$BN$18,MATCH(Summary!BD$1,'RA8-Water Management Structures'!$A$9:$BN$9,1),FALSE),0)+IFERROR(VLOOKUP($B16,'RA9-Codisposal Upper'!$A$11:$BN$18,MATCH(Summary!BD$1,'RA9-Codisposal Upper'!$A$9:$BN$9,1),FALSE),0)+IFERROR(VLOOKUP($B16,'RA10-Codisposal Slopes'!$A$11:$BN$18,MATCH(Summary!BD$1,'RA10-Codisposal Slopes'!$A$9:$BN$9,1),FALSE),0)+IFERROR(VLOOKUP($B16,'IA1-Final Void inc Ramps'!$A$11:$BN$18,MATCH(Summary!BD$1,'IA1-Final Void inc Ramps'!$A$9:$BN$9,1),FALSE),0)</f>
        <v>1901.2130000000002</v>
      </c>
      <c r="BE16" s="47">
        <f>IFERROR(VLOOKUP($B16,'RA1- Elevated Dumps Upper'!$A$11:$BN$18,MATCH(Summary!BE$1,'RA1- Elevated Dumps Upper'!$A$9:$BN$9,1),FALSE),0)+IFERROR(VLOOKUP($B16,'RA2-Elevated Dumps Slopes'!$A$11:$BN$18,MATCH(Summary!BE$1,'RA2-Elevated Dumps Slopes'!$A$9:$BN$9,1),FALSE),0)+IFERROR(VLOOKUP($B16,'RA3-Backfilled Pits'!$A$11:$BN$18,MATCH(Summary!BE$1,'RA3-Backfilled Pits'!$A$9:$BN$9,1),FALSE),0)+IFERROR(VLOOKUP($B16,'RA4-Tracks_Roads'!$A$11:$BN$18,MATCH(Summary!BE$1,'RA4-Tracks_Roads'!$A$9:$BN$9,1),FALSE),0)+IFERROR(VLOOKUP($B16,'RA5-ROM'!$A$11:$BN$18,MATCH(Summary!BE$1,'RA5-ROM'!$A$9:$BN$9,1),FALSE),0)+IFERROR(VLOOKUP($B16,'RA6-CHPP'!$A$11:$BN$18,MATCH(Summary!BE$1,'RA6-CHPP'!$A$9:$BN$9,1),FALSE),0)+IFERROR(VLOOKUP($B16,'RA7-Mine Infrastructure Area'!$A$11:$BN$18,MATCH(Summary!BE$1,'RA7-Mine Infrastructure Area'!$A$9:$BN$9,1),FALSE),0)+IFERROR(VLOOKUP($B16,'RA8-Water Management Structures'!$A$11:$BN$18,MATCH(Summary!BE$1,'RA8-Water Management Structures'!$A$9:$BN$9,1),FALSE),0)+IFERROR(VLOOKUP($B16,'RA9-Codisposal Upper'!$A$11:$BN$18,MATCH(Summary!BE$1,'RA9-Codisposal Upper'!$A$9:$BN$9,1),FALSE),0)+IFERROR(VLOOKUP($B16,'RA10-Codisposal Slopes'!$A$11:$BN$18,MATCH(Summary!BE$1,'RA10-Codisposal Slopes'!$A$9:$BN$9,1),FALSE),0)+IFERROR(VLOOKUP($B16,'IA1-Final Void inc Ramps'!$A$11:$BN$18,MATCH(Summary!BE$1,'IA1-Final Void inc Ramps'!$A$9:$BN$9,1),FALSE),0)</f>
        <v>1901.2130000000002</v>
      </c>
      <c r="BF16" s="47">
        <f>IFERROR(VLOOKUP($B16,'RA1- Elevated Dumps Upper'!$A$11:$BN$18,MATCH(Summary!BF$1,'RA1- Elevated Dumps Upper'!$A$9:$BN$9,1),FALSE),0)+IFERROR(VLOOKUP($B16,'RA2-Elevated Dumps Slopes'!$A$11:$BN$18,MATCH(Summary!BF$1,'RA2-Elevated Dumps Slopes'!$A$9:$BN$9,1),FALSE),0)+IFERROR(VLOOKUP($B16,'RA3-Backfilled Pits'!$A$11:$BN$18,MATCH(Summary!BF$1,'RA3-Backfilled Pits'!$A$9:$BN$9,1),FALSE),0)+IFERROR(VLOOKUP($B16,'RA4-Tracks_Roads'!$A$11:$BN$18,MATCH(Summary!BF$1,'RA4-Tracks_Roads'!$A$9:$BN$9,1),FALSE),0)+IFERROR(VLOOKUP($B16,'RA5-ROM'!$A$11:$BN$18,MATCH(Summary!BF$1,'RA5-ROM'!$A$9:$BN$9,1),FALSE),0)+IFERROR(VLOOKUP($B16,'RA6-CHPP'!$A$11:$BN$18,MATCH(Summary!BF$1,'RA6-CHPP'!$A$9:$BN$9,1),FALSE),0)+IFERROR(VLOOKUP($B16,'RA7-Mine Infrastructure Area'!$A$11:$BN$18,MATCH(Summary!BF$1,'RA7-Mine Infrastructure Area'!$A$9:$BN$9,1),FALSE),0)+IFERROR(VLOOKUP($B16,'RA8-Water Management Structures'!$A$11:$BN$18,MATCH(Summary!BF$1,'RA8-Water Management Structures'!$A$9:$BN$9,1),FALSE),0)+IFERROR(VLOOKUP($B16,'RA9-Codisposal Upper'!$A$11:$BN$18,MATCH(Summary!BF$1,'RA9-Codisposal Upper'!$A$9:$BN$9,1),FALSE),0)+IFERROR(VLOOKUP($B16,'RA10-Codisposal Slopes'!$A$11:$BN$18,MATCH(Summary!BF$1,'RA10-Codisposal Slopes'!$A$9:$BN$9,1),FALSE),0)+IFERROR(VLOOKUP($B16,'IA1-Final Void inc Ramps'!$A$11:$BN$18,MATCH(Summary!BF$1,'IA1-Final Void inc Ramps'!$A$9:$BN$9,1),FALSE),0)</f>
        <v>1901.2130000000002</v>
      </c>
      <c r="BG16" s="47">
        <f>IFERROR(VLOOKUP($B16,'RA1- Elevated Dumps Upper'!$A$11:$BN$18,MATCH(Summary!BG$1,'RA1- Elevated Dumps Upper'!$A$9:$BN$9,1),FALSE),0)+IFERROR(VLOOKUP($B16,'RA2-Elevated Dumps Slopes'!$A$11:$BN$18,MATCH(Summary!BG$1,'RA2-Elevated Dumps Slopes'!$A$9:$BN$9,1),FALSE),0)+IFERROR(VLOOKUP($B16,'RA3-Backfilled Pits'!$A$11:$BN$18,MATCH(Summary!BG$1,'RA3-Backfilled Pits'!$A$9:$BN$9,1),FALSE),0)+IFERROR(VLOOKUP($B16,'RA4-Tracks_Roads'!$A$11:$BN$18,MATCH(Summary!BG$1,'RA4-Tracks_Roads'!$A$9:$BN$9,1),FALSE),0)+IFERROR(VLOOKUP($B16,'RA5-ROM'!$A$11:$BN$18,MATCH(Summary!BG$1,'RA5-ROM'!$A$9:$BN$9,1),FALSE),0)+IFERROR(VLOOKUP($B16,'RA6-CHPP'!$A$11:$BN$18,MATCH(Summary!BG$1,'RA6-CHPP'!$A$9:$BN$9,1),FALSE),0)+IFERROR(VLOOKUP($B16,'RA7-Mine Infrastructure Area'!$A$11:$BN$18,MATCH(Summary!BG$1,'RA7-Mine Infrastructure Area'!$A$9:$BN$9,1),FALSE),0)+IFERROR(VLOOKUP($B16,'RA8-Water Management Structures'!$A$11:$BN$18,MATCH(Summary!BG$1,'RA8-Water Management Structures'!$A$9:$BN$9,1),FALSE),0)+IFERROR(VLOOKUP($B16,'RA9-Codisposal Upper'!$A$11:$BN$18,MATCH(Summary!BG$1,'RA9-Codisposal Upper'!$A$9:$BN$9,1),FALSE),0)+IFERROR(VLOOKUP($B16,'RA10-Codisposal Slopes'!$A$11:$BN$18,MATCH(Summary!BG$1,'RA10-Codisposal Slopes'!$A$9:$BN$9,1),FALSE),0)+IFERROR(VLOOKUP($B16,'IA1-Final Void inc Ramps'!$A$11:$BN$18,MATCH(Summary!BG$1,'IA1-Final Void inc Ramps'!$A$9:$BN$9,1),FALSE),0)</f>
        <v>1901.2130000000002</v>
      </c>
      <c r="BH16" s="47">
        <f>IFERROR(VLOOKUP($B16,'RA1- Elevated Dumps Upper'!$A$11:$BN$18,MATCH(Summary!BH$1,'RA1- Elevated Dumps Upper'!$A$9:$BN$9,1),FALSE),0)+IFERROR(VLOOKUP($B16,'RA2-Elevated Dumps Slopes'!$A$11:$BN$18,MATCH(Summary!BH$1,'RA2-Elevated Dumps Slopes'!$A$9:$BN$9,1),FALSE),0)+IFERROR(VLOOKUP($B16,'RA3-Backfilled Pits'!$A$11:$BN$18,MATCH(Summary!BH$1,'RA3-Backfilled Pits'!$A$9:$BN$9,1),FALSE),0)+IFERROR(VLOOKUP($B16,'RA4-Tracks_Roads'!$A$11:$BN$18,MATCH(Summary!BH$1,'RA4-Tracks_Roads'!$A$9:$BN$9,1),FALSE),0)+IFERROR(VLOOKUP($B16,'RA5-ROM'!$A$11:$BN$18,MATCH(Summary!BH$1,'RA5-ROM'!$A$9:$BN$9,1),FALSE),0)+IFERROR(VLOOKUP($B16,'RA6-CHPP'!$A$11:$BN$18,MATCH(Summary!BH$1,'RA6-CHPP'!$A$9:$BN$9,1),FALSE),0)+IFERROR(VLOOKUP($B16,'RA7-Mine Infrastructure Area'!$A$11:$BN$18,MATCH(Summary!BH$1,'RA7-Mine Infrastructure Area'!$A$9:$BN$9,1),FALSE),0)+IFERROR(VLOOKUP($B16,'RA8-Water Management Structures'!$A$11:$BN$18,MATCH(Summary!BH$1,'RA8-Water Management Structures'!$A$9:$BN$9,1),FALSE),0)+IFERROR(VLOOKUP($B16,'RA9-Codisposal Upper'!$A$11:$BN$18,MATCH(Summary!BH$1,'RA9-Codisposal Upper'!$A$9:$BN$9,1),FALSE),0)+IFERROR(VLOOKUP($B16,'RA10-Codisposal Slopes'!$A$11:$BN$18,MATCH(Summary!BH$1,'RA10-Codisposal Slopes'!$A$9:$BN$9,1),FALSE),0)+IFERROR(VLOOKUP($B16,'IA1-Final Void inc Ramps'!$A$11:$BN$18,MATCH(Summary!BH$1,'IA1-Final Void inc Ramps'!$A$9:$BN$9,1),FALSE),0)</f>
        <v>1901.2130000000002</v>
      </c>
      <c r="BI16" s="47">
        <f>IFERROR(VLOOKUP($B16,'RA1- Elevated Dumps Upper'!$A$11:$BN$18,MATCH(Summary!BI$1,'RA1- Elevated Dumps Upper'!$A$9:$BN$9,1),FALSE),0)+IFERROR(VLOOKUP($B16,'RA2-Elevated Dumps Slopes'!$A$11:$BN$18,MATCH(Summary!BI$1,'RA2-Elevated Dumps Slopes'!$A$9:$BN$9,1),FALSE),0)+IFERROR(VLOOKUP($B16,'RA3-Backfilled Pits'!$A$11:$BN$18,MATCH(Summary!BI$1,'RA3-Backfilled Pits'!$A$9:$BN$9,1),FALSE),0)+IFERROR(VLOOKUP($B16,'RA4-Tracks_Roads'!$A$11:$BN$18,MATCH(Summary!BI$1,'RA4-Tracks_Roads'!$A$9:$BN$9,1),FALSE),0)+IFERROR(VLOOKUP($B16,'RA5-ROM'!$A$11:$BN$18,MATCH(Summary!BI$1,'RA5-ROM'!$A$9:$BN$9,1),FALSE),0)+IFERROR(VLOOKUP($B16,'RA6-CHPP'!$A$11:$BN$18,MATCH(Summary!BI$1,'RA6-CHPP'!$A$9:$BN$9,1),FALSE),0)+IFERROR(VLOOKUP($B16,'RA7-Mine Infrastructure Area'!$A$11:$BN$18,MATCH(Summary!BI$1,'RA7-Mine Infrastructure Area'!$A$9:$BN$9,1),FALSE),0)+IFERROR(VLOOKUP($B16,'RA8-Water Management Structures'!$A$11:$BN$18,MATCH(Summary!BI$1,'RA8-Water Management Structures'!$A$9:$BN$9,1),FALSE),0)+IFERROR(VLOOKUP($B16,'RA9-Codisposal Upper'!$A$11:$BN$18,MATCH(Summary!BI$1,'RA9-Codisposal Upper'!$A$9:$BN$9,1),FALSE),0)+IFERROR(VLOOKUP($B16,'RA10-Codisposal Slopes'!$A$11:$BN$18,MATCH(Summary!BI$1,'RA10-Codisposal Slopes'!$A$9:$BN$9,1),FALSE),0)+IFERROR(VLOOKUP($B16,'IA1-Final Void inc Ramps'!$A$11:$BN$18,MATCH(Summary!BI$1,'IA1-Final Void inc Ramps'!$A$9:$BN$9,1),FALSE),0)</f>
        <v>1901.2130000000002</v>
      </c>
      <c r="BJ16" s="47">
        <f>IFERROR(VLOOKUP($B16,'RA1- Elevated Dumps Upper'!$A$11:$BN$18,MATCH(Summary!BJ$1,'RA1- Elevated Dumps Upper'!$A$9:$BN$9,1),FALSE),0)+IFERROR(VLOOKUP($B16,'RA2-Elevated Dumps Slopes'!$A$11:$BN$18,MATCH(Summary!BJ$1,'RA2-Elevated Dumps Slopes'!$A$9:$BN$9,1),FALSE),0)+IFERROR(VLOOKUP($B16,'RA3-Backfilled Pits'!$A$11:$BN$18,MATCH(Summary!BJ$1,'RA3-Backfilled Pits'!$A$9:$BN$9,1),FALSE),0)+IFERROR(VLOOKUP($B16,'RA4-Tracks_Roads'!$A$11:$BN$18,MATCH(Summary!BJ$1,'RA4-Tracks_Roads'!$A$9:$BN$9,1),FALSE),0)+IFERROR(VLOOKUP($B16,'RA5-ROM'!$A$11:$BN$18,MATCH(Summary!BJ$1,'RA5-ROM'!$A$9:$BN$9,1),FALSE),0)+IFERROR(VLOOKUP($B16,'RA6-CHPP'!$A$11:$BN$18,MATCH(Summary!BJ$1,'RA6-CHPP'!$A$9:$BN$9,1),FALSE),0)+IFERROR(VLOOKUP($B16,'RA7-Mine Infrastructure Area'!$A$11:$BN$18,MATCH(Summary!BJ$1,'RA7-Mine Infrastructure Area'!$A$9:$BN$9,1),FALSE),0)+IFERROR(VLOOKUP($B16,'RA8-Water Management Structures'!$A$11:$BN$18,MATCH(Summary!BJ$1,'RA8-Water Management Structures'!$A$9:$BN$9,1),FALSE),0)+IFERROR(VLOOKUP($B16,'RA9-Codisposal Upper'!$A$11:$BN$18,MATCH(Summary!BJ$1,'RA9-Codisposal Upper'!$A$9:$BN$9,1),FALSE),0)+IFERROR(VLOOKUP($B16,'RA10-Codisposal Slopes'!$A$11:$BN$18,MATCH(Summary!BJ$1,'RA10-Codisposal Slopes'!$A$9:$BN$9,1),FALSE),0)+IFERROR(VLOOKUP($B16,'IA1-Final Void inc Ramps'!$A$11:$BN$18,MATCH(Summary!BJ$1,'IA1-Final Void inc Ramps'!$A$9:$BN$9,1),FALSE),0)</f>
        <v>1901.2130000000002</v>
      </c>
      <c r="BK16" s="47">
        <f>IFERROR(VLOOKUP($B16,'RA1- Elevated Dumps Upper'!$A$11:$BN$18,MATCH(Summary!BK$1,'RA1- Elevated Dumps Upper'!$A$9:$BN$9,1),FALSE),0)+IFERROR(VLOOKUP($B16,'RA2-Elevated Dumps Slopes'!$A$11:$BN$18,MATCH(Summary!BK$1,'RA2-Elevated Dumps Slopes'!$A$9:$BN$9,1),FALSE),0)+IFERROR(VLOOKUP($B16,'RA3-Backfilled Pits'!$A$11:$BN$18,MATCH(Summary!BK$1,'RA3-Backfilled Pits'!$A$9:$BN$9,1),FALSE),0)+IFERROR(VLOOKUP($B16,'RA4-Tracks_Roads'!$A$11:$BN$18,MATCH(Summary!BK$1,'RA4-Tracks_Roads'!$A$9:$BN$9,1),FALSE),0)+IFERROR(VLOOKUP($B16,'RA5-ROM'!$A$11:$BN$18,MATCH(Summary!BK$1,'RA5-ROM'!$A$9:$BN$9,1),FALSE),0)+IFERROR(VLOOKUP($B16,'RA6-CHPP'!$A$11:$BN$18,MATCH(Summary!BK$1,'RA6-CHPP'!$A$9:$BN$9,1),FALSE),0)+IFERROR(VLOOKUP($B16,'RA7-Mine Infrastructure Area'!$A$11:$BN$18,MATCH(Summary!BK$1,'RA7-Mine Infrastructure Area'!$A$9:$BN$9,1),FALSE),0)+IFERROR(VLOOKUP($B16,'RA8-Water Management Structures'!$A$11:$BN$18,MATCH(Summary!BK$1,'RA8-Water Management Structures'!$A$9:$BN$9,1),FALSE),0)+IFERROR(VLOOKUP($B16,'RA9-Codisposal Upper'!$A$11:$BN$18,MATCH(Summary!BK$1,'RA9-Codisposal Upper'!$A$9:$BN$9,1),FALSE),0)+IFERROR(VLOOKUP($B16,'RA10-Codisposal Slopes'!$A$11:$BN$18,MATCH(Summary!BK$1,'RA10-Codisposal Slopes'!$A$9:$BN$9,1),FALSE),0)+IFERROR(VLOOKUP($B16,'IA1-Final Void inc Ramps'!$A$11:$BN$18,MATCH(Summary!BK$1,'IA1-Final Void inc Ramps'!$A$9:$BN$9,1),FALSE),0)</f>
        <v>1901.2130000000002</v>
      </c>
      <c r="BL16" s="47">
        <f>IFERROR(VLOOKUP($B16,'RA1- Elevated Dumps Upper'!$A$11:$BN$18,MATCH(Summary!BL$1,'RA1- Elevated Dumps Upper'!$A$9:$BN$9,1),FALSE),0)+IFERROR(VLOOKUP($B16,'RA2-Elevated Dumps Slopes'!$A$11:$BN$18,MATCH(Summary!BL$1,'RA2-Elevated Dumps Slopes'!$A$9:$BN$9,1),FALSE),0)+IFERROR(VLOOKUP($B16,'RA3-Backfilled Pits'!$A$11:$BN$18,MATCH(Summary!BL$1,'RA3-Backfilled Pits'!$A$9:$BN$9,1),FALSE),0)+IFERROR(VLOOKUP($B16,'RA4-Tracks_Roads'!$A$11:$BN$18,MATCH(Summary!BL$1,'RA4-Tracks_Roads'!$A$9:$BN$9,1),FALSE),0)+IFERROR(VLOOKUP($B16,'RA5-ROM'!$A$11:$BN$18,MATCH(Summary!BL$1,'RA5-ROM'!$A$9:$BN$9,1),FALSE),0)+IFERROR(VLOOKUP($B16,'RA6-CHPP'!$A$11:$BN$18,MATCH(Summary!BL$1,'RA6-CHPP'!$A$9:$BN$9,1),FALSE),0)+IFERROR(VLOOKUP($B16,'RA7-Mine Infrastructure Area'!$A$11:$BN$18,MATCH(Summary!BL$1,'RA7-Mine Infrastructure Area'!$A$9:$BN$9,1),FALSE),0)+IFERROR(VLOOKUP($B16,'RA8-Water Management Structures'!$A$11:$BN$18,MATCH(Summary!BL$1,'RA8-Water Management Structures'!$A$9:$BN$9,1),FALSE),0)+IFERROR(VLOOKUP($B16,'RA9-Codisposal Upper'!$A$11:$BN$18,MATCH(Summary!BL$1,'RA9-Codisposal Upper'!$A$9:$BN$9,1),FALSE),0)+IFERROR(VLOOKUP($B16,'RA10-Codisposal Slopes'!$A$11:$BN$18,MATCH(Summary!BL$1,'RA10-Codisposal Slopes'!$A$9:$BN$9,1),FALSE),0)+IFERROR(VLOOKUP($B16,'IA1-Final Void inc Ramps'!$A$11:$BN$18,MATCH(Summary!BL$1,'IA1-Final Void inc Ramps'!$A$9:$BN$9,1),FALSE),0)</f>
        <v>1901.2130000000002</v>
      </c>
      <c r="BM16" s="47">
        <f>IFERROR(VLOOKUP($B16,'RA1- Elevated Dumps Upper'!$A$11:$BN$18,MATCH(Summary!BM$1,'RA1- Elevated Dumps Upper'!$A$9:$BN$9,1),FALSE),0)+IFERROR(VLOOKUP($B16,'RA2-Elevated Dumps Slopes'!$A$11:$BN$18,MATCH(Summary!BM$1,'RA2-Elevated Dumps Slopes'!$A$9:$BN$9,1),FALSE),0)+IFERROR(VLOOKUP($B16,'RA3-Backfilled Pits'!$A$11:$BN$18,MATCH(Summary!BM$1,'RA3-Backfilled Pits'!$A$9:$BN$9,1),FALSE),0)+IFERROR(VLOOKUP($B16,'RA4-Tracks_Roads'!$A$11:$BN$18,MATCH(Summary!BM$1,'RA4-Tracks_Roads'!$A$9:$BN$9,1),FALSE),0)+IFERROR(VLOOKUP($B16,'RA5-ROM'!$A$11:$BN$18,MATCH(Summary!BM$1,'RA5-ROM'!$A$9:$BN$9,1),FALSE),0)+IFERROR(VLOOKUP($B16,'RA6-CHPP'!$A$11:$BN$18,MATCH(Summary!BM$1,'RA6-CHPP'!$A$9:$BN$9,1),FALSE),0)+IFERROR(VLOOKUP($B16,'RA7-Mine Infrastructure Area'!$A$11:$BN$18,MATCH(Summary!BM$1,'RA7-Mine Infrastructure Area'!$A$9:$BN$9,1),FALSE),0)+IFERROR(VLOOKUP($B16,'RA8-Water Management Structures'!$A$11:$BN$18,MATCH(Summary!BM$1,'RA8-Water Management Structures'!$A$9:$BN$9,1),FALSE),0)+IFERROR(VLOOKUP($B16,'RA9-Codisposal Upper'!$A$11:$BN$18,MATCH(Summary!BM$1,'RA9-Codisposal Upper'!$A$9:$BN$9,1),FALSE),0)+IFERROR(VLOOKUP($B16,'RA10-Codisposal Slopes'!$A$11:$BN$18,MATCH(Summary!BM$1,'RA10-Codisposal Slopes'!$A$9:$BN$9,1),FALSE),0)+IFERROR(VLOOKUP($B16,'IA1-Final Void inc Ramps'!$A$11:$BN$18,MATCH(Summary!BM$1,'IA1-Final Void inc Ramps'!$A$9:$BN$9,1),FALSE),0)</f>
        <v>1901.2130000000002</v>
      </c>
      <c r="BN16" s="47">
        <f>IFERROR(VLOOKUP($B16,'RA1- Elevated Dumps Upper'!$A$11:$BN$18,MATCH(Summary!BN$1,'RA1- Elevated Dumps Upper'!$A$9:$BN$9,1),FALSE),0)+IFERROR(VLOOKUP($B16,'RA2-Elevated Dumps Slopes'!$A$11:$BN$18,MATCH(Summary!BN$1,'RA2-Elevated Dumps Slopes'!$A$9:$BN$9,1),FALSE),0)+IFERROR(VLOOKUP($B16,'RA3-Backfilled Pits'!$A$11:$BN$18,MATCH(Summary!BN$1,'RA3-Backfilled Pits'!$A$9:$BN$9,1),FALSE),0)+IFERROR(VLOOKUP($B16,'RA4-Tracks_Roads'!$A$11:$BN$18,MATCH(Summary!BN$1,'RA4-Tracks_Roads'!$A$9:$BN$9,1),FALSE),0)+IFERROR(VLOOKUP($B16,'RA5-ROM'!$A$11:$BN$18,MATCH(Summary!BN$1,'RA5-ROM'!$A$9:$BN$9,1),FALSE),0)+IFERROR(VLOOKUP($B16,'RA6-CHPP'!$A$11:$BN$18,MATCH(Summary!BN$1,'RA6-CHPP'!$A$9:$BN$9,1),FALSE),0)+IFERROR(VLOOKUP($B16,'RA7-Mine Infrastructure Area'!$A$11:$BN$18,MATCH(Summary!BN$1,'RA7-Mine Infrastructure Area'!$A$9:$BN$9,1),FALSE),0)+IFERROR(VLOOKUP($B16,'RA8-Water Management Structures'!$A$11:$BN$18,MATCH(Summary!BN$1,'RA8-Water Management Structures'!$A$9:$BN$9,1),FALSE),0)+IFERROR(VLOOKUP($B16,'RA9-Codisposal Upper'!$A$11:$BN$18,MATCH(Summary!BN$1,'RA9-Codisposal Upper'!$A$9:$BN$9,1),FALSE),0)+IFERROR(VLOOKUP($B16,'RA10-Codisposal Slopes'!$A$11:$BN$18,MATCH(Summary!BN$1,'RA10-Codisposal Slopes'!$A$9:$BN$9,1),FALSE),0)+IFERROR(VLOOKUP($B16,'IA1-Final Void inc Ramps'!$A$11:$BN$18,MATCH(Summary!BN$1,'IA1-Final Void inc Ramps'!$A$9:$BN$9,1),FALSE),0)</f>
        <v>1901.2130000000002</v>
      </c>
    </row>
    <row r="17" spans="1:66" x14ac:dyDescent="0.35">
      <c r="B17" t="s">
        <v>32</v>
      </c>
      <c r="D17" s="47">
        <f>IFERROR(VLOOKUP($B17,'RA1- Elevated Dumps Upper'!$A$11:$BN$18,MATCH(Summary!D$1,'RA1- Elevated Dumps Upper'!$A$9:$BN$9,1),FALSE),0)+IFERROR(VLOOKUP($B17,'RA2-Elevated Dumps Slopes'!$A$11:$BN$18,MATCH(Summary!D$1,'RA2-Elevated Dumps Slopes'!$A$9:$BN$9,1),FALSE),0)+IFERROR(VLOOKUP($B17,'RA3-Backfilled Pits'!$A$11:$BN$18,MATCH(Summary!D$1,'RA3-Backfilled Pits'!$A$9:$BN$9,1),FALSE),0)+IFERROR(VLOOKUP($B17,'RA4-Tracks_Roads'!$A$11:$BN$18,MATCH(Summary!D$1,'RA4-Tracks_Roads'!$A$9:$BN$9,1),FALSE),0)+IFERROR(VLOOKUP($B17,'RA5-ROM'!$A$11:$BN$18,MATCH(Summary!D$1,'RA5-ROM'!$A$9:$BN$9,1),FALSE),0)+IFERROR(VLOOKUP($B17,'RA6-CHPP'!$A$11:$BN$18,MATCH(Summary!D$1,'RA6-CHPP'!$A$9:$BN$9,1),FALSE),0)+IFERROR(VLOOKUP($B17,'RA7-Mine Infrastructure Area'!$A$11:$BN$18,MATCH(Summary!D$1,'RA7-Mine Infrastructure Area'!$A$9:$BN$9,1),FALSE),0)+IFERROR(VLOOKUP($B17,'RA8-Water Management Structures'!$A$11:$BN$18,MATCH(Summary!D$1,'RA8-Water Management Structures'!$A$9:$BN$9,1),FALSE),0)+IFERROR(VLOOKUP($B17,'RA9-Codisposal Upper'!$A$11:$BN$18,MATCH(Summary!D$1,'RA9-Codisposal Upper'!$A$9:$BN$9,1),FALSE),0)+IFERROR(VLOOKUP($B17,'RA10-Codisposal Slopes'!$A$11:$BN$18,MATCH(Summary!D$1,'RA10-Codisposal Slopes'!$A$9:$BN$9,1),FALSE),0)+IFERROR(VLOOKUP($B17,'IA1-Final Void inc Ramps'!$A$11:$BN$18,MATCH(Summary!D$1,'IA1-Final Void inc Ramps'!$A$9:$BN$9,1),FALSE),0)</f>
        <v>0</v>
      </c>
      <c r="E17" s="47">
        <f>IFERROR(VLOOKUP($B17,'RA1- Elevated Dumps Upper'!$A$11:$BN$18,MATCH(Summary!E$1,'RA1- Elevated Dumps Upper'!$A$9:$BN$9,1),FALSE),0)+IFERROR(VLOOKUP($B17,'RA2-Elevated Dumps Slopes'!$A$11:$BN$18,MATCH(Summary!E$1,'RA2-Elevated Dumps Slopes'!$A$9:$BN$9,1),FALSE),0)+IFERROR(VLOOKUP($B17,'RA3-Backfilled Pits'!$A$11:$BN$18,MATCH(Summary!E$1,'RA3-Backfilled Pits'!$A$9:$BN$9,1),FALSE),0)+IFERROR(VLOOKUP($B17,'RA4-Tracks_Roads'!$A$11:$BN$18,MATCH(Summary!E$1,'RA4-Tracks_Roads'!$A$9:$BN$9,1),FALSE),0)+IFERROR(VLOOKUP($B17,'RA5-ROM'!$A$11:$BN$18,MATCH(Summary!E$1,'RA5-ROM'!$A$9:$BN$9,1),FALSE),0)+IFERROR(VLOOKUP($B17,'RA6-CHPP'!$A$11:$BN$18,MATCH(Summary!E$1,'RA6-CHPP'!$A$9:$BN$9,1),FALSE),0)+IFERROR(VLOOKUP($B17,'RA7-Mine Infrastructure Area'!$A$11:$BN$18,MATCH(Summary!E$1,'RA7-Mine Infrastructure Area'!$A$9:$BN$9,1),FALSE),0)+IFERROR(VLOOKUP($B17,'RA8-Water Management Structures'!$A$11:$BN$18,MATCH(Summary!E$1,'RA8-Water Management Structures'!$A$9:$BN$9,1),FALSE),0)+IFERROR(VLOOKUP($B17,'RA9-Codisposal Upper'!$A$11:$BN$18,MATCH(Summary!E$1,'RA9-Codisposal Upper'!$A$9:$BN$9,1),FALSE),0)+IFERROR(VLOOKUP($B17,'RA10-Codisposal Slopes'!$A$11:$BN$18,MATCH(Summary!E$1,'RA10-Codisposal Slopes'!$A$9:$BN$9,1),FALSE),0)+IFERROR(VLOOKUP($B17,'IA1-Final Void inc Ramps'!$A$11:$BN$18,MATCH(Summary!E$1,'IA1-Final Void inc Ramps'!$A$9:$BN$9,1),FALSE),0)</f>
        <v>0</v>
      </c>
      <c r="F17" s="47">
        <f>IFERROR(VLOOKUP($B17,'RA1- Elevated Dumps Upper'!$A$11:$BN$18,MATCH(Summary!F$1,'RA1- Elevated Dumps Upper'!$A$9:$BN$9,1),FALSE),0)+IFERROR(VLOOKUP($B17,'RA2-Elevated Dumps Slopes'!$A$11:$BN$18,MATCH(Summary!F$1,'RA2-Elevated Dumps Slopes'!$A$9:$BN$9,1),FALSE),0)+IFERROR(VLOOKUP($B17,'RA3-Backfilled Pits'!$A$11:$BN$18,MATCH(Summary!F$1,'RA3-Backfilled Pits'!$A$9:$BN$9,1),FALSE),0)+IFERROR(VLOOKUP($B17,'RA4-Tracks_Roads'!$A$11:$BN$18,MATCH(Summary!F$1,'RA4-Tracks_Roads'!$A$9:$BN$9,1),FALSE),0)+IFERROR(VLOOKUP($B17,'RA5-ROM'!$A$11:$BN$18,MATCH(Summary!F$1,'RA5-ROM'!$A$9:$BN$9,1),FALSE),0)+IFERROR(VLOOKUP($B17,'RA6-CHPP'!$A$11:$BN$18,MATCH(Summary!F$1,'RA6-CHPP'!$A$9:$BN$9,1),FALSE),0)+IFERROR(VLOOKUP($B17,'RA7-Mine Infrastructure Area'!$A$11:$BN$18,MATCH(Summary!F$1,'RA7-Mine Infrastructure Area'!$A$9:$BN$9,1),FALSE),0)+IFERROR(VLOOKUP($B17,'RA8-Water Management Structures'!$A$11:$BN$18,MATCH(Summary!F$1,'RA8-Water Management Structures'!$A$9:$BN$9,1),FALSE),0)+IFERROR(VLOOKUP($B17,'RA9-Codisposal Upper'!$A$11:$BN$18,MATCH(Summary!F$1,'RA9-Codisposal Upper'!$A$9:$BN$9,1),FALSE),0)+IFERROR(VLOOKUP($B17,'RA10-Codisposal Slopes'!$A$11:$BN$18,MATCH(Summary!F$1,'RA10-Codisposal Slopes'!$A$9:$BN$9,1),FALSE),0)+IFERROR(VLOOKUP($B17,'IA1-Final Void inc Ramps'!$A$11:$BN$18,MATCH(Summary!F$1,'IA1-Final Void inc Ramps'!$A$9:$BN$9,1),FALSE),0)</f>
        <v>0</v>
      </c>
      <c r="G17" s="47">
        <f>IFERROR(VLOOKUP($B17,'RA1- Elevated Dumps Upper'!$A$11:$BN$18,MATCH(Summary!G$1,'RA1- Elevated Dumps Upper'!$A$9:$BN$9,1),FALSE),0)+IFERROR(VLOOKUP($B17,'RA2-Elevated Dumps Slopes'!$A$11:$BN$18,MATCH(Summary!G$1,'RA2-Elevated Dumps Slopes'!$A$9:$BN$9,1),FALSE),0)+IFERROR(VLOOKUP($B17,'RA3-Backfilled Pits'!$A$11:$BN$18,MATCH(Summary!G$1,'RA3-Backfilled Pits'!$A$9:$BN$9,1),FALSE),0)+IFERROR(VLOOKUP($B17,'RA4-Tracks_Roads'!$A$11:$BN$18,MATCH(Summary!G$1,'RA4-Tracks_Roads'!$A$9:$BN$9,1),FALSE),0)+IFERROR(VLOOKUP($B17,'RA5-ROM'!$A$11:$BN$18,MATCH(Summary!G$1,'RA5-ROM'!$A$9:$BN$9,1),FALSE),0)+IFERROR(VLOOKUP($B17,'RA6-CHPP'!$A$11:$BN$18,MATCH(Summary!G$1,'RA6-CHPP'!$A$9:$BN$9,1),FALSE),0)+IFERROR(VLOOKUP($B17,'RA7-Mine Infrastructure Area'!$A$11:$BN$18,MATCH(Summary!G$1,'RA7-Mine Infrastructure Area'!$A$9:$BN$9,1),FALSE),0)+IFERROR(VLOOKUP($B17,'RA8-Water Management Structures'!$A$11:$BN$18,MATCH(Summary!G$1,'RA8-Water Management Structures'!$A$9:$BN$9,1),FALSE),0)+IFERROR(VLOOKUP($B17,'RA9-Codisposal Upper'!$A$11:$BN$18,MATCH(Summary!G$1,'RA9-Codisposal Upper'!$A$9:$BN$9,1),FALSE),0)+IFERROR(VLOOKUP($B17,'RA10-Codisposal Slopes'!$A$11:$BN$18,MATCH(Summary!G$1,'RA10-Codisposal Slopes'!$A$9:$BN$9,1),FALSE),0)+IFERROR(VLOOKUP($B17,'IA1-Final Void inc Ramps'!$A$11:$BN$18,MATCH(Summary!G$1,'IA1-Final Void inc Ramps'!$A$9:$BN$9,1),FALSE),0)</f>
        <v>0</v>
      </c>
      <c r="H17" s="47">
        <f>IFERROR(VLOOKUP($B17,'RA1- Elevated Dumps Upper'!$A$11:$BN$18,MATCH(Summary!H$1,'RA1- Elevated Dumps Upper'!$A$9:$BN$9,1),FALSE),0)+IFERROR(VLOOKUP($B17,'RA2-Elevated Dumps Slopes'!$A$11:$BN$18,MATCH(Summary!H$1,'RA2-Elevated Dumps Slopes'!$A$9:$BN$9,1),FALSE),0)+IFERROR(VLOOKUP($B17,'RA3-Backfilled Pits'!$A$11:$BN$18,MATCH(Summary!H$1,'RA3-Backfilled Pits'!$A$9:$BN$9,1),FALSE),0)+IFERROR(VLOOKUP($B17,'RA4-Tracks_Roads'!$A$11:$BN$18,MATCH(Summary!H$1,'RA4-Tracks_Roads'!$A$9:$BN$9,1),FALSE),0)+IFERROR(VLOOKUP($B17,'RA5-ROM'!$A$11:$BN$18,MATCH(Summary!H$1,'RA5-ROM'!$A$9:$BN$9,1),FALSE),0)+IFERROR(VLOOKUP($B17,'RA6-CHPP'!$A$11:$BN$18,MATCH(Summary!H$1,'RA6-CHPP'!$A$9:$BN$9,1),FALSE),0)+IFERROR(VLOOKUP($B17,'RA7-Mine Infrastructure Area'!$A$11:$BN$18,MATCH(Summary!H$1,'RA7-Mine Infrastructure Area'!$A$9:$BN$9,1),FALSE),0)+IFERROR(VLOOKUP($B17,'RA8-Water Management Structures'!$A$11:$BN$18,MATCH(Summary!H$1,'RA8-Water Management Structures'!$A$9:$BN$9,1),FALSE),0)+IFERROR(VLOOKUP($B17,'RA9-Codisposal Upper'!$A$11:$BN$18,MATCH(Summary!H$1,'RA9-Codisposal Upper'!$A$9:$BN$9,1),FALSE),0)+IFERROR(VLOOKUP($B17,'RA10-Codisposal Slopes'!$A$11:$BN$18,MATCH(Summary!H$1,'RA10-Codisposal Slopes'!$A$9:$BN$9,1),FALSE),0)+IFERROR(VLOOKUP($B17,'IA1-Final Void inc Ramps'!$A$11:$BN$18,MATCH(Summary!H$1,'IA1-Final Void inc Ramps'!$A$9:$BN$9,1),FALSE),0)</f>
        <v>0</v>
      </c>
      <c r="I17" s="47">
        <f>IFERROR(VLOOKUP($B17,'RA1- Elevated Dumps Upper'!$A$11:$BN$18,MATCH(Summary!I$1,'RA1- Elevated Dumps Upper'!$A$9:$BN$9,1),FALSE),0)+IFERROR(VLOOKUP($B17,'RA2-Elevated Dumps Slopes'!$A$11:$BN$18,MATCH(Summary!I$1,'RA2-Elevated Dumps Slopes'!$A$9:$BN$9,1),FALSE),0)+IFERROR(VLOOKUP($B17,'RA3-Backfilled Pits'!$A$11:$BN$18,MATCH(Summary!I$1,'RA3-Backfilled Pits'!$A$9:$BN$9,1),FALSE),0)+IFERROR(VLOOKUP($B17,'RA4-Tracks_Roads'!$A$11:$BN$18,MATCH(Summary!I$1,'RA4-Tracks_Roads'!$A$9:$BN$9,1),FALSE),0)+IFERROR(VLOOKUP($B17,'RA5-ROM'!$A$11:$BN$18,MATCH(Summary!I$1,'RA5-ROM'!$A$9:$BN$9,1),FALSE),0)+IFERROR(VLOOKUP($B17,'RA6-CHPP'!$A$11:$BN$18,MATCH(Summary!I$1,'RA6-CHPP'!$A$9:$BN$9,1),FALSE),0)+IFERROR(VLOOKUP($B17,'RA7-Mine Infrastructure Area'!$A$11:$BN$18,MATCH(Summary!I$1,'RA7-Mine Infrastructure Area'!$A$9:$BN$9,1),FALSE),0)+IFERROR(VLOOKUP($B17,'RA8-Water Management Structures'!$A$11:$BN$18,MATCH(Summary!I$1,'RA8-Water Management Structures'!$A$9:$BN$9,1),FALSE),0)+IFERROR(VLOOKUP($B17,'RA9-Codisposal Upper'!$A$11:$BN$18,MATCH(Summary!I$1,'RA9-Codisposal Upper'!$A$9:$BN$9,1),FALSE),0)+IFERROR(VLOOKUP($B17,'RA10-Codisposal Slopes'!$A$11:$BN$18,MATCH(Summary!I$1,'RA10-Codisposal Slopes'!$A$9:$BN$9,1),FALSE),0)+IFERROR(VLOOKUP($B17,'IA1-Final Void inc Ramps'!$A$11:$BN$18,MATCH(Summary!I$1,'IA1-Final Void inc Ramps'!$A$9:$BN$9,1),FALSE),0)</f>
        <v>0</v>
      </c>
      <c r="J17" s="47">
        <f>IFERROR(VLOOKUP($B17,'RA1- Elevated Dumps Upper'!$A$11:$BN$18,MATCH(Summary!J$1,'RA1- Elevated Dumps Upper'!$A$9:$BN$9,1),FALSE),0)+IFERROR(VLOOKUP($B17,'RA2-Elevated Dumps Slopes'!$A$11:$BN$18,MATCH(Summary!J$1,'RA2-Elevated Dumps Slopes'!$A$9:$BN$9,1),FALSE),0)+IFERROR(VLOOKUP($B17,'RA3-Backfilled Pits'!$A$11:$BN$18,MATCH(Summary!J$1,'RA3-Backfilled Pits'!$A$9:$BN$9,1),FALSE),0)+IFERROR(VLOOKUP($B17,'RA4-Tracks_Roads'!$A$11:$BN$18,MATCH(Summary!J$1,'RA4-Tracks_Roads'!$A$9:$BN$9,1),FALSE),0)+IFERROR(VLOOKUP($B17,'RA5-ROM'!$A$11:$BN$18,MATCH(Summary!J$1,'RA5-ROM'!$A$9:$BN$9,1),FALSE),0)+IFERROR(VLOOKUP($B17,'RA6-CHPP'!$A$11:$BN$18,MATCH(Summary!J$1,'RA6-CHPP'!$A$9:$BN$9,1),FALSE),0)+IFERROR(VLOOKUP($B17,'RA7-Mine Infrastructure Area'!$A$11:$BN$18,MATCH(Summary!J$1,'RA7-Mine Infrastructure Area'!$A$9:$BN$9,1),FALSE),0)+IFERROR(VLOOKUP($B17,'RA8-Water Management Structures'!$A$11:$BN$18,MATCH(Summary!J$1,'RA8-Water Management Structures'!$A$9:$BN$9,1),FALSE),0)+IFERROR(VLOOKUP($B17,'RA9-Codisposal Upper'!$A$11:$BN$18,MATCH(Summary!J$1,'RA9-Codisposal Upper'!$A$9:$BN$9,1),FALSE),0)+IFERROR(VLOOKUP($B17,'RA10-Codisposal Slopes'!$A$11:$BN$18,MATCH(Summary!J$1,'RA10-Codisposal Slopes'!$A$9:$BN$9,1),FALSE),0)+IFERROR(VLOOKUP($B17,'IA1-Final Void inc Ramps'!$A$11:$BN$18,MATCH(Summary!J$1,'IA1-Final Void inc Ramps'!$A$9:$BN$9,1),FALSE),0)</f>
        <v>0</v>
      </c>
      <c r="K17" s="47">
        <f>IFERROR(VLOOKUP($B17,'RA1- Elevated Dumps Upper'!$A$11:$BN$18,MATCH(Summary!K$1,'RA1- Elevated Dumps Upper'!$A$9:$BN$9,1),FALSE),0)+IFERROR(VLOOKUP($B17,'RA2-Elevated Dumps Slopes'!$A$11:$BN$18,MATCH(Summary!K$1,'RA2-Elevated Dumps Slopes'!$A$9:$BN$9,1),FALSE),0)+IFERROR(VLOOKUP($B17,'RA3-Backfilled Pits'!$A$11:$BN$18,MATCH(Summary!K$1,'RA3-Backfilled Pits'!$A$9:$BN$9,1),FALSE),0)+IFERROR(VLOOKUP($B17,'RA4-Tracks_Roads'!$A$11:$BN$18,MATCH(Summary!K$1,'RA4-Tracks_Roads'!$A$9:$BN$9,1),FALSE),0)+IFERROR(VLOOKUP($B17,'RA5-ROM'!$A$11:$BN$18,MATCH(Summary!K$1,'RA5-ROM'!$A$9:$BN$9,1),FALSE),0)+IFERROR(VLOOKUP($B17,'RA6-CHPP'!$A$11:$BN$18,MATCH(Summary!K$1,'RA6-CHPP'!$A$9:$BN$9,1),FALSE),0)+IFERROR(VLOOKUP($B17,'RA7-Mine Infrastructure Area'!$A$11:$BN$18,MATCH(Summary!K$1,'RA7-Mine Infrastructure Area'!$A$9:$BN$9,1),FALSE),0)+IFERROR(VLOOKUP($B17,'RA8-Water Management Structures'!$A$11:$BN$18,MATCH(Summary!K$1,'RA8-Water Management Structures'!$A$9:$BN$9,1),FALSE),0)+IFERROR(VLOOKUP($B17,'RA9-Codisposal Upper'!$A$11:$BN$18,MATCH(Summary!K$1,'RA9-Codisposal Upper'!$A$9:$BN$9,1),FALSE),0)+IFERROR(VLOOKUP($B17,'RA10-Codisposal Slopes'!$A$11:$BN$18,MATCH(Summary!K$1,'RA10-Codisposal Slopes'!$A$9:$BN$9,1),FALSE),0)+IFERROR(VLOOKUP($B17,'IA1-Final Void inc Ramps'!$A$11:$BN$18,MATCH(Summary!K$1,'IA1-Final Void inc Ramps'!$A$9:$BN$9,1),FALSE),0)</f>
        <v>0</v>
      </c>
      <c r="L17" s="47">
        <f>IFERROR(VLOOKUP($B17,'RA1- Elevated Dumps Upper'!$A$11:$BN$18,MATCH(Summary!L$1,'RA1- Elevated Dumps Upper'!$A$9:$BN$9,1),FALSE),0)+IFERROR(VLOOKUP($B17,'RA2-Elevated Dumps Slopes'!$A$11:$BN$18,MATCH(Summary!L$1,'RA2-Elevated Dumps Slopes'!$A$9:$BN$9,1),FALSE),0)+IFERROR(VLOOKUP($B17,'RA3-Backfilled Pits'!$A$11:$BN$18,MATCH(Summary!L$1,'RA3-Backfilled Pits'!$A$9:$BN$9,1),FALSE),0)+IFERROR(VLOOKUP($B17,'RA4-Tracks_Roads'!$A$11:$BN$18,MATCH(Summary!L$1,'RA4-Tracks_Roads'!$A$9:$BN$9,1),FALSE),0)+IFERROR(VLOOKUP($B17,'RA5-ROM'!$A$11:$BN$18,MATCH(Summary!L$1,'RA5-ROM'!$A$9:$BN$9,1),FALSE),0)+IFERROR(VLOOKUP($B17,'RA6-CHPP'!$A$11:$BN$18,MATCH(Summary!L$1,'RA6-CHPP'!$A$9:$BN$9,1),FALSE),0)+IFERROR(VLOOKUP($B17,'RA7-Mine Infrastructure Area'!$A$11:$BN$18,MATCH(Summary!L$1,'RA7-Mine Infrastructure Area'!$A$9:$BN$9,1),FALSE),0)+IFERROR(VLOOKUP($B17,'RA8-Water Management Structures'!$A$11:$BN$18,MATCH(Summary!L$1,'RA8-Water Management Structures'!$A$9:$BN$9,1),FALSE),0)+IFERROR(VLOOKUP($B17,'RA9-Codisposal Upper'!$A$11:$BN$18,MATCH(Summary!L$1,'RA9-Codisposal Upper'!$A$9:$BN$9,1),FALSE),0)+IFERROR(VLOOKUP($B17,'RA10-Codisposal Slopes'!$A$11:$BN$18,MATCH(Summary!L$1,'RA10-Codisposal Slopes'!$A$9:$BN$9,1),FALSE),0)+IFERROR(VLOOKUP($B17,'IA1-Final Void inc Ramps'!$A$11:$BN$18,MATCH(Summary!L$1,'IA1-Final Void inc Ramps'!$A$9:$BN$9,1),FALSE),0)</f>
        <v>0</v>
      </c>
      <c r="M17" s="47">
        <f>IFERROR(VLOOKUP($B17,'RA1- Elevated Dumps Upper'!$A$11:$BN$18,MATCH(Summary!M$1,'RA1- Elevated Dumps Upper'!$A$9:$BN$9,1),FALSE),0)+IFERROR(VLOOKUP($B17,'RA2-Elevated Dumps Slopes'!$A$11:$BN$18,MATCH(Summary!M$1,'RA2-Elevated Dumps Slopes'!$A$9:$BN$9,1),FALSE),0)+IFERROR(VLOOKUP($B17,'RA3-Backfilled Pits'!$A$11:$BN$18,MATCH(Summary!M$1,'RA3-Backfilled Pits'!$A$9:$BN$9,1),FALSE),0)+IFERROR(VLOOKUP($B17,'RA4-Tracks_Roads'!$A$11:$BN$18,MATCH(Summary!M$1,'RA4-Tracks_Roads'!$A$9:$BN$9,1),FALSE),0)+IFERROR(VLOOKUP($B17,'RA5-ROM'!$A$11:$BN$18,MATCH(Summary!M$1,'RA5-ROM'!$A$9:$BN$9,1),FALSE),0)+IFERROR(VLOOKUP($B17,'RA6-CHPP'!$A$11:$BN$18,MATCH(Summary!M$1,'RA6-CHPP'!$A$9:$BN$9,1),FALSE),0)+IFERROR(VLOOKUP($B17,'RA7-Mine Infrastructure Area'!$A$11:$BN$18,MATCH(Summary!M$1,'RA7-Mine Infrastructure Area'!$A$9:$BN$9,1),FALSE),0)+IFERROR(VLOOKUP($B17,'RA8-Water Management Structures'!$A$11:$BN$18,MATCH(Summary!M$1,'RA8-Water Management Structures'!$A$9:$BN$9,1),FALSE),0)+IFERROR(VLOOKUP($B17,'RA9-Codisposal Upper'!$A$11:$BN$18,MATCH(Summary!M$1,'RA9-Codisposal Upper'!$A$9:$BN$9,1),FALSE),0)+IFERROR(VLOOKUP($B17,'RA10-Codisposal Slopes'!$A$11:$BN$18,MATCH(Summary!M$1,'RA10-Codisposal Slopes'!$A$9:$BN$9,1),FALSE),0)+IFERROR(VLOOKUP($B17,'IA1-Final Void inc Ramps'!$A$11:$BN$18,MATCH(Summary!M$1,'IA1-Final Void inc Ramps'!$A$9:$BN$9,1),FALSE),0)</f>
        <v>0</v>
      </c>
      <c r="N17" s="47">
        <f>IFERROR(VLOOKUP($B17,'RA1- Elevated Dumps Upper'!$A$11:$BN$18,MATCH(Summary!N$1,'RA1- Elevated Dumps Upper'!$A$9:$BN$9,1),FALSE),0)+IFERROR(VLOOKUP($B17,'RA2-Elevated Dumps Slopes'!$A$11:$BN$18,MATCH(Summary!N$1,'RA2-Elevated Dumps Slopes'!$A$9:$BN$9,1),FALSE),0)+IFERROR(VLOOKUP($B17,'RA3-Backfilled Pits'!$A$11:$BN$18,MATCH(Summary!N$1,'RA3-Backfilled Pits'!$A$9:$BN$9,1),FALSE),0)+IFERROR(VLOOKUP($B17,'RA4-Tracks_Roads'!$A$11:$BN$18,MATCH(Summary!N$1,'RA4-Tracks_Roads'!$A$9:$BN$9,1),FALSE),0)+IFERROR(VLOOKUP($B17,'RA5-ROM'!$A$11:$BN$18,MATCH(Summary!N$1,'RA5-ROM'!$A$9:$BN$9,1),FALSE),0)+IFERROR(VLOOKUP($B17,'RA6-CHPP'!$A$11:$BN$18,MATCH(Summary!N$1,'RA6-CHPP'!$A$9:$BN$9,1),FALSE),0)+IFERROR(VLOOKUP($B17,'RA7-Mine Infrastructure Area'!$A$11:$BN$18,MATCH(Summary!N$1,'RA7-Mine Infrastructure Area'!$A$9:$BN$9,1),FALSE),0)+IFERROR(VLOOKUP($B17,'RA8-Water Management Structures'!$A$11:$BN$18,MATCH(Summary!N$1,'RA8-Water Management Structures'!$A$9:$BN$9,1),FALSE),0)+IFERROR(VLOOKUP($B17,'RA9-Codisposal Upper'!$A$11:$BN$18,MATCH(Summary!N$1,'RA9-Codisposal Upper'!$A$9:$BN$9,1),FALSE),0)+IFERROR(VLOOKUP($B17,'RA10-Codisposal Slopes'!$A$11:$BN$18,MATCH(Summary!N$1,'RA10-Codisposal Slopes'!$A$9:$BN$9,1),FALSE),0)+IFERROR(VLOOKUP($B17,'IA1-Final Void inc Ramps'!$A$11:$BN$18,MATCH(Summary!N$1,'IA1-Final Void inc Ramps'!$A$9:$BN$9,1),FALSE),0)</f>
        <v>0</v>
      </c>
      <c r="O17" s="47">
        <f>IFERROR(VLOOKUP($B17,'RA1- Elevated Dumps Upper'!$A$11:$BN$18,MATCH(Summary!O$1,'RA1- Elevated Dumps Upper'!$A$9:$BN$9,1),FALSE),0)+IFERROR(VLOOKUP($B17,'RA2-Elevated Dumps Slopes'!$A$11:$BN$18,MATCH(Summary!O$1,'RA2-Elevated Dumps Slopes'!$A$9:$BN$9,1),FALSE),0)+IFERROR(VLOOKUP($B17,'RA3-Backfilled Pits'!$A$11:$BN$18,MATCH(Summary!O$1,'RA3-Backfilled Pits'!$A$9:$BN$9,1),FALSE),0)+IFERROR(VLOOKUP($B17,'RA4-Tracks_Roads'!$A$11:$BN$18,MATCH(Summary!O$1,'RA4-Tracks_Roads'!$A$9:$BN$9,1),FALSE),0)+IFERROR(VLOOKUP($B17,'RA5-ROM'!$A$11:$BN$18,MATCH(Summary!O$1,'RA5-ROM'!$A$9:$BN$9,1),FALSE),0)+IFERROR(VLOOKUP($B17,'RA6-CHPP'!$A$11:$BN$18,MATCH(Summary!O$1,'RA6-CHPP'!$A$9:$BN$9,1),FALSE),0)+IFERROR(VLOOKUP($B17,'RA7-Mine Infrastructure Area'!$A$11:$BN$18,MATCH(Summary!O$1,'RA7-Mine Infrastructure Area'!$A$9:$BN$9,1),FALSE),0)+IFERROR(VLOOKUP($B17,'RA8-Water Management Structures'!$A$11:$BN$18,MATCH(Summary!O$1,'RA8-Water Management Structures'!$A$9:$BN$9,1),FALSE),0)+IFERROR(VLOOKUP($B17,'RA9-Codisposal Upper'!$A$11:$BN$18,MATCH(Summary!O$1,'RA9-Codisposal Upper'!$A$9:$BN$9,1),FALSE),0)+IFERROR(VLOOKUP($B17,'RA10-Codisposal Slopes'!$A$11:$BN$18,MATCH(Summary!O$1,'RA10-Codisposal Slopes'!$A$9:$BN$9,1),FALSE),0)+IFERROR(VLOOKUP($B17,'IA1-Final Void inc Ramps'!$A$11:$BN$18,MATCH(Summary!O$1,'IA1-Final Void inc Ramps'!$A$9:$BN$9,1),FALSE),0)</f>
        <v>0</v>
      </c>
      <c r="P17" s="47">
        <f>IFERROR(VLOOKUP($B17,'RA1- Elevated Dumps Upper'!$A$11:$BN$18,MATCH(Summary!P$1,'RA1- Elevated Dumps Upper'!$A$9:$BN$9,1),FALSE),0)+IFERROR(VLOOKUP($B17,'RA2-Elevated Dumps Slopes'!$A$11:$BN$18,MATCH(Summary!P$1,'RA2-Elevated Dumps Slopes'!$A$9:$BN$9,1),FALSE),0)+IFERROR(VLOOKUP($B17,'RA3-Backfilled Pits'!$A$11:$BN$18,MATCH(Summary!P$1,'RA3-Backfilled Pits'!$A$9:$BN$9,1),FALSE),0)+IFERROR(VLOOKUP($B17,'RA4-Tracks_Roads'!$A$11:$BN$18,MATCH(Summary!P$1,'RA4-Tracks_Roads'!$A$9:$BN$9,1),FALSE),0)+IFERROR(VLOOKUP($B17,'RA5-ROM'!$A$11:$BN$18,MATCH(Summary!P$1,'RA5-ROM'!$A$9:$BN$9,1),FALSE),0)+IFERROR(VLOOKUP($B17,'RA6-CHPP'!$A$11:$BN$18,MATCH(Summary!P$1,'RA6-CHPP'!$A$9:$BN$9,1),FALSE),0)+IFERROR(VLOOKUP($B17,'RA7-Mine Infrastructure Area'!$A$11:$BN$18,MATCH(Summary!P$1,'RA7-Mine Infrastructure Area'!$A$9:$BN$9,1),FALSE),0)+IFERROR(VLOOKUP($B17,'RA8-Water Management Structures'!$A$11:$BN$18,MATCH(Summary!P$1,'RA8-Water Management Structures'!$A$9:$BN$9,1),FALSE),0)+IFERROR(VLOOKUP($B17,'RA9-Codisposal Upper'!$A$11:$BN$18,MATCH(Summary!P$1,'RA9-Codisposal Upper'!$A$9:$BN$9,1),FALSE),0)+IFERROR(VLOOKUP($B17,'RA10-Codisposal Slopes'!$A$11:$BN$18,MATCH(Summary!P$1,'RA10-Codisposal Slopes'!$A$9:$BN$9,1),FALSE),0)+IFERROR(VLOOKUP($B17,'IA1-Final Void inc Ramps'!$A$11:$BN$18,MATCH(Summary!P$1,'IA1-Final Void inc Ramps'!$A$9:$BN$9,1),FALSE),0)</f>
        <v>0</v>
      </c>
      <c r="Q17" s="47">
        <f>IFERROR(VLOOKUP($B17,'RA1- Elevated Dumps Upper'!$A$11:$BN$18,MATCH(Summary!Q$1,'RA1- Elevated Dumps Upper'!$A$9:$BN$9,1),FALSE),0)+IFERROR(VLOOKUP($B17,'RA2-Elevated Dumps Slopes'!$A$11:$BN$18,MATCH(Summary!Q$1,'RA2-Elevated Dumps Slopes'!$A$9:$BN$9,1),FALSE),0)+IFERROR(VLOOKUP($B17,'RA3-Backfilled Pits'!$A$11:$BN$18,MATCH(Summary!Q$1,'RA3-Backfilled Pits'!$A$9:$BN$9,1),FALSE),0)+IFERROR(VLOOKUP($B17,'RA4-Tracks_Roads'!$A$11:$BN$18,MATCH(Summary!Q$1,'RA4-Tracks_Roads'!$A$9:$BN$9,1),FALSE),0)+IFERROR(VLOOKUP($B17,'RA5-ROM'!$A$11:$BN$18,MATCH(Summary!Q$1,'RA5-ROM'!$A$9:$BN$9,1),FALSE),0)+IFERROR(VLOOKUP($B17,'RA6-CHPP'!$A$11:$BN$18,MATCH(Summary!Q$1,'RA6-CHPP'!$A$9:$BN$9,1),FALSE),0)+IFERROR(VLOOKUP($B17,'RA7-Mine Infrastructure Area'!$A$11:$BN$18,MATCH(Summary!Q$1,'RA7-Mine Infrastructure Area'!$A$9:$BN$9,1),FALSE),0)+IFERROR(VLOOKUP($B17,'RA8-Water Management Structures'!$A$11:$BN$18,MATCH(Summary!Q$1,'RA8-Water Management Structures'!$A$9:$BN$9,1),FALSE),0)+IFERROR(VLOOKUP($B17,'RA9-Codisposal Upper'!$A$11:$BN$18,MATCH(Summary!Q$1,'RA9-Codisposal Upper'!$A$9:$BN$9,1),FALSE),0)+IFERROR(VLOOKUP($B17,'RA10-Codisposal Slopes'!$A$11:$BN$18,MATCH(Summary!Q$1,'RA10-Codisposal Slopes'!$A$9:$BN$9,1),FALSE),0)+IFERROR(VLOOKUP($B17,'IA1-Final Void inc Ramps'!$A$11:$BN$18,MATCH(Summary!Q$1,'IA1-Final Void inc Ramps'!$A$9:$BN$9,1),FALSE),0)</f>
        <v>0</v>
      </c>
      <c r="R17" s="47">
        <f>IFERROR(VLOOKUP($B17,'RA1- Elevated Dumps Upper'!$A$11:$BN$18,MATCH(Summary!R$1,'RA1- Elevated Dumps Upper'!$A$9:$BN$9,1),FALSE),0)+IFERROR(VLOOKUP($B17,'RA2-Elevated Dumps Slopes'!$A$11:$BN$18,MATCH(Summary!R$1,'RA2-Elevated Dumps Slopes'!$A$9:$BN$9,1),FALSE),0)+IFERROR(VLOOKUP($B17,'RA3-Backfilled Pits'!$A$11:$BN$18,MATCH(Summary!R$1,'RA3-Backfilled Pits'!$A$9:$BN$9,1),FALSE),0)+IFERROR(VLOOKUP($B17,'RA4-Tracks_Roads'!$A$11:$BN$18,MATCH(Summary!R$1,'RA4-Tracks_Roads'!$A$9:$BN$9,1),FALSE),0)+IFERROR(VLOOKUP($B17,'RA5-ROM'!$A$11:$BN$18,MATCH(Summary!R$1,'RA5-ROM'!$A$9:$BN$9,1),FALSE),0)+IFERROR(VLOOKUP($B17,'RA6-CHPP'!$A$11:$BN$18,MATCH(Summary!R$1,'RA6-CHPP'!$A$9:$BN$9,1),FALSE),0)+IFERROR(VLOOKUP($B17,'RA7-Mine Infrastructure Area'!$A$11:$BN$18,MATCH(Summary!R$1,'RA7-Mine Infrastructure Area'!$A$9:$BN$9,1),FALSE),0)+IFERROR(VLOOKUP($B17,'RA8-Water Management Structures'!$A$11:$BN$18,MATCH(Summary!R$1,'RA8-Water Management Structures'!$A$9:$BN$9,1),FALSE),0)+IFERROR(VLOOKUP($B17,'RA9-Codisposal Upper'!$A$11:$BN$18,MATCH(Summary!R$1,'RA9-Codisposal Upper'!$A$9:$BN$9,1),FALSE),0)+IFERROR(VLOOKUP($B17,'RA10-Codisposal Slopes'!$A$11:$BN$18,MATCH(Summary!R$1,'RA10-Codisposal Slopes'!$A$9:$BN$9,1),FALSE),0)+IFERROR(VLOOKUP($B17,'IA1-Final Void inc Ramps'!$A$11:$BN$18,MATCH(Summary!R$1,'IA1-Final Void inc Ramps'!$A$9:$BN$9,1),FALSE),0)</f>
        <v>0</v>
      </c>
      <c r="S17" s="47">
        <f>IFERROR(VLOOKUP($B17,'RA1- Elevated Dumps Upper'!$A$11:$BN$18,MATCH(Summary!S$1,'RA1- Elevated Dumps Upper'!$A$9:$BN$9,1),FALSE),0)+IFERROR(VLOOKUP($B17,'RA2-Elevated Dumps Slopes'!$A$11:$BN$18,MATCH(Summary!S$1,'RA2-Elevated Dumps Slopes'!$A$9:$BN$9,1),FALSE),0)+IFERROR(VLOOKUP($B17,'RA3-Backfilled Pits'!$A$11:$BN$18,MATCH(Summary!S$1,'RA3-Backfilled Pits'!$A$9:$BN$9,1),FALSE),0)+IFERROR(VLOOKUP($B17,'RA4-Tracks_Roads'!$A$11:$BN$18,MATCH(Summary!S$1,'RA4-Tracks_Roads'!$A$9:$BN$9,1),FALSE),0)+IFERROR(VLOOKUP($B17,'RA5-ROM'!$A$11:$BN$18,MATCH(Summary!S$1,'RA5-ROM'!$A$9:$BN$9,1),FALSE),0)+IFERROR(VLOOKUP($B17,'RA6-CHPP'!$A$11:$BN$18,MATCH(Summary!S$1,'RA6-CHPP'!$A$9:$BN$9,1),FALSE),0)+IFERROR(VLOOKUP($B17,'RA7-Mine Infrastructure Area'!$A$11:$BN$18,MATCH(Summary!S$1,'RA7-Mine Infrastructure Area'!$A$9:$BN$9,1),FALSE),0)+IFERROR(VLOOKUP($B17,'RA8-Water Management Structures'!$A$11:$BN$18,MATCH(Summary!S$1,'RA8-Water Management Structures'!$A$9:$BN$9,1),FALSE),0)+IFERROR(VLOOKUP($B17,'RA9-Codisposal Upper'!$A$11:$BN$18,MATCH(Summary!S$1,'RA9-Codisposal Upper'!$A$9:$BN$9,1),FALSE),0)+IFERROR(VLOOKUP($B17,'RA10-Codisposal Slopes'!$A$11:$BN$18,MATCH(Summary!S$1,'RA10-Codisposal Slopes'!$A$9:$BN$9,1),FALSE),0)+IFERROR(VLOOKUP($B17,'IA1-Final Void inc Ramps'!$A$11:$BN$18,MATCH(Summary!S$1,'IA1-Final Void inc Ramps'!$A$9:$BN$9,1),FALSE),0)</f>
        <v>0</v>
      </c>
      <c r="T17" s="47">
        <f>IFERROR(VLOOKUP($B17,'RA1- Elevated Dumps Upper'!$A$11:$BN$18,MATCH(Summary!T$1,'RA1- Elevated Dumps Upper'!$A$9:$BN$9,1),FALSE),0)+IFERROR(VLOOKUP($B17,'RA2-Elevated Dumps Slopes'!$A$11:$BN$18,MATCH(Summary!T$1,'RA2-Elevated Dumps Slopes'!$A$9:$BN$9,1),FALSE),0)+IFERROR(VLOOKUP($B17,'RA3-Backfilled Pits'!$A$11:$BN$18,MATCH(Summary!T$1,'RA3-Backfilled Pits'!$A$9:$BN$9,1),FALSE),0)+IFERROR(VLOOKUP($B17,'RA4-Tracks_Roads'!$A$11:$BN$18,MATCH(Summary!T$1,'RA4-Tracks_Roads'!$A$9:$BN$9,1),FALSE),0)+IFERROR(VLOOKUP($B17,'RA5-ROM'!$A$11:$BN$18,MATCH(Summary!T$1,'RA5-ROM'!$A$9:$BN$9,1),FALSE),0)+IFERROR(VLOOKUP($B17,'RA6-CHPP'!$A$11:$BN$18,MATCH(Summary!T$1,'RA6-CHPP'!$A$9:$BN$9,1),FALSE),0)+IFERROR(VLOOKUP($B17,'RA7-Mine Infrastructure Area'!$A$11:$BN$18,MATCH(Summary!T$1,'RA7-Mine Infrastructure Area'!$A$9:$BN$9,1),FALSE),0)+IFERROR(VLOOKUP($B17,'RA8-Water Management Structures'!$A$11:$BN$18,MATCH(Summary!T$1,'RA8-Water Management Structures'!$A$9:$BN$9,1),FALSE),0)+IFERROR(VLOOKUP($B17,'RA9-Codisposal Upper'!$A$11:$BN$18,MATCH(Summary!T$1,'RA9-Codisposal Upper'!$A$9:$BN$9,1),FALSE),0)+IFERROR(VLOOKUP($B17,'RA10-Codisposal Slopes'!$A$11:$BN$18,MATCH(Summary!T$1,'RA10-Codisposal Slopes'!$A$9:$BN$9,1),FALSE),0)+IFERROR(VLOOKUP($B17,'IA1-Final Void inc Ramps'!$A$11:$BN$18,MATCH(Summary!T$1,'IA1-Final Void inc Ramps'!$A$9:$BN$9,1),FALSE),0)</f>
        <v>0</v>
      </c>
      <c r="U17" s="47">
        <f>IFERROR(VLOOKUP($B17,'RA1- Elevated Dumps Upper'!$A$11:$BN$18,MATCH(Summary!U$1,'RA1- Elevated Dumps Upper'!$A$9:$BN$9,1),FALSE),0)+IFERROR(VLOOKUP($B17,'RA2-Elevated Dumps Slopes'!$A$11:$BN$18,MATCH(Summary!U$1,'RA2-Elevated Dumps Slopes'!$A$9:$BN$9,1),FALSE),0)+IFERROR(VLOOKUP($B17,'RA3-Backfilled Pits'!$A$11:$BN$18,MATCH(Summary!U$1,'RA3-Backfilled Pits'!$A$9:$BN$9,1),FALSE),0)+IFERROR(VLOOKUP($B17,'RA4-Tracks_Roads'!$A$11:$BN$18,MATCH(Summary!U$1,'RA4-Tracks_Roads'!$A$9:$BN$9,1),FALSE),0)+IFERROR(VLOOKUP($B17,'RA5-ROM'!$A$11:$BN$18,MATCH(Summary!U$1,'RA5-ROM'!$A$9:$BN$9,1),FALSE),0)+IFERROR(VLOOKUP($B17,'RA6-CHPP'!$A$11:$BN$18,MATCH(Summary!U$1,'RA6-CHPP'!$A$9:$BN$9,1),FALSE),0)+IFERROR(VLOOKUP($B17,'RA7-Mine Infrastructure Area'!$A$11:$BN$18,MATCH(Summary!U$1,'RA7-Mine Infrastructure Area'!$A$9:$BN$9,1),FALSE),0)+IFERROR(VLOOKUP($B17,'RA8-Water Management Structures'!$A$11:$BN$18,MATCH(Summary!U$1,'RA8-Water Management Structures'!$A$9:$BN$9,1),FALSE),0)+IFERROR(VLOOKUP($B17,'RA9-Codisposal Upper'!$A$11:$BN$18,MATCH(Summary!U$1,'RA9-Codisposal Upper'!$A$9:$BN$9,1),FALSE),0)+IFERROR(VLOOKUP($B17,'RA10-Codisposal Slopes'!$A$11:$BN$18,MATCH(Summary!U$1,'RA10-Codisposal Slopes'!$A$9:$BN$9,1),FALSE),0)+IFERROR(VLOOKUP($B17,'IA1-Final Void inc Ramps'!$A$11:$BN$18,MATCH(Summary!U$1,'IA1-Final Void inc Ramps'!$A$9:$BN$9,1),FALSE),0)</f>
        <v>0</v>
      </c>
      <c r="V17" s="47">
        <f>IFERROR(VLOOKUP($B17,'RA1- Elevated Dumps Upper'!$A$11:$BN$18,MATCH(Summary!V$1,'RA1- Elevated Dumps Upper'!$A$9:$BN$9,1),FALSE),0)+IFERROR(VLOOKUP($B17,'RA2-Elevated Dumps Slopes'!$A$11:$BN$18,MATCH(Summary!V$1,'RA2-Elevated Dumps Slopes'!$A$9:$BN$9,1),FALSE),0)+IFERROR(VLOOKUP($B17,'RA3-Backfilled Pits'!$A$11:$BN$18,MATCH(Summary!V$1,'RA3-Backfilled Pits'!$A$9:$BN$9,1),FALSE),0)+IFERROR(VLOOKUP($B17,'RA4-Tracks_Roads'!$A$11:$BN$18,MATCH(Summary!V$1,'RA4-Tracks_Roads'!$A$9:$BN$9,1),FALSE),0)+IFERROR(VLOOKUP($B17,'RA5-ROM'!$A$11:$BN$18,MATCH(Summary!V$1,'RA5-ROM'!$A$9:$BN$9,1),FALSE),0)+IFERROR(VLOOKUP($B17,'RA6-CHPP'!$A$11:$BN$18,MATCH(Summary!V$1,'RA6-CHPP'!$A$9:$BN$9,1),FALSE),0)+IFERROR(VLOOKUP($B17,'RA7-Mine Infrastructure Area'!$A$11:$BN$18,MATCH(Summary!V$1,'RA7-Mine Infrastructure Area'!$A$9:$BN$9,1),FALSE),0)+IFERROR(VLOOKUP($B17,'RA8-Water Management Structures'!$A$11:$BN$18,MATCH(Summary!V$1,'RA8-Water Management Structures'!$A$9:$BN$9,1),FALSE),0)+IFERROR(VLOOKUP($B17,'RA9-Codisposal Upper'!$A$11:$BN$18,MATCH(Summary!V$1,'RA9-Codisposal Upper'!$A$9:$BN$9,1),FALSE),0)+IFERROR(VLOOKUP($B17,'RA10-Codisposal Slopes'!$A$11:$BN$18,MATCH(Summary!V$1,'RA10-Codisposal Slopes'!$A$9:$BN$9,1),FALSE),0)+IFERROR(VLOOKUP($B17,'IA1-Final Void inc Ramps'!$A$11:$BN$18,MATCH(Summary!V$1,'IA1-Final Void inc Ramps'!$A$9:$BN$9,1),FALSE),0)</f>
        <v>0</v>
      </c>
      <c r="W17" s="47">
        <f>IFERROR(VLOOKUP($B17,'RA1- Elevated Dumps Upper'!$A$11:$BN$18,MATCH(Summary!W$1,'RA1- Elevated Dumps Upper'!$A$9:$BN$9,1),FALSE),0)+IFERROR(VLOOKUP($B17,'RA2-Elevated Dumps Slopes'!$A$11:$BN$18,MATCH(Summary!W$1,'RA2-Elevated Dumps Slopes'!$A$9:$BN$9,1),FALSE),0)+IFERROR(VLOOKUP($B17,'RA3-Backfilled Pits'!$A$11:$BN$18,MATCH(Summary!W$1,'RA3-Backfilled Pits'!$A$9:$BN$9,1),FALSE),0)+IFERROR(VLOOKUP($B17,'RA4-Tracks_Roads'!$A$11:$BN$18,MATCH(Summary!W$1,'RA4-Tracks_Roads'!$A$9:$BN$9,1),FALSE),0)+IFERROR(VLOOKUP($B17,'RA5-ROM'!$A$11:$BN$18,MATCH(Summary!W$1,'RA5-ROM'!$A$9:$BN$9,1),FALSE),0)+IFERROR(VLOOKUP($B17,'RA6-CHPP'!$A$11:$BN$18,MATCH(Summary!W$1,'RA6-CHPP'!$A$9:$BN$9,1),FALSE),0)+IFERROR(VLOOKUP($B17,'RA7-Mine Infrastructure Area'!$A$11:$BN$18,MATCH(Summary!W$1,'RA7-Mine Infrastructure Area'!$A$9:$BN$9,1),FALSE),0)+IFERROR(VLOOKUP($B17,'RA8-Water Management Structures'!$A$11:$BN$18,MATCH(Summary!W$1,'RA8-Water Management Structures'!$A$9:$BN$9,1),FALSE),0)+IFERROR(VLOOKUP($B17,'RA9-Codisposal Upper'!$A$11:$BN$18,MATCH(Summary!W$1,'RA9-Codisposal Upper'!$A$9:$BN$9,1),FALSE),0)+IFERROR(VLOOKUP($B17,'RA10-Codisposal Slopes'!$A$11:$BN$18,MATCH(Summary!W$1,'RA10-Codisposal Slopes'!$A$9:$BN$9,1),FALSE),0)+IFERROR(VLOOKUP($B17,'IA1-Final Void inc Ramps'!$A$11:$BN$18,MATCH(Summary!W$1,'IA1-Final Void inc Ramps'!$A$9:$BN$9,1),FALSE),0)</f>
        <v>0</v>
      </c>
      <c r="X17" s="47">
        <f>IFERROR(VLOOKUP($B17,'RA1- Elevated Dumps Upper'!$A$11:$BN$18,MATCH(Summary!X$1,'RA1- Elevated Dumps Upper'!$A$9:$BN$9,1),FALSE),0)+IFERROR(VLOOKUP($B17,'RA2-Elevated Dumps Slopes'!$A$11:$BN$18,MATCH(Summary!X$1,'RA2-Elevated Dumps Slopes'!$A$9:$BN$9,1),FALSE),0)+IFERROR(VLOOKUP($B17,'RA3-Backfilled Pits'!$A$11:$BN$18,MATCH(Summary!X$1,'RA3-Backfilled Pits'!$A$9:$BN$9,1),FALSE),0)+IFERROR(VLOOKUP($B17,'RA4-Tracks_Roads'!$A$11:$BN$18,MATCH(Summary!X$1,'RA4-Tracks_Roads'!$A$9:$BN$9,1),FALSE),0)+IFERROR(VLOOKUP($B17,'RA5-ROM'!$A$11:$BN$18,MATCH(Summary!X$1,'RA5-ROM'!$A$9:$BN$9,1),FALSE),0)+IFERROR(VLOOKUP($B17,'RA6-CHPP'!$A$11:$BN$18,MATCH(Summary!X$1,'RA6-CHPP'!$A$9:$BN$9,1),FALSE),0)+IFERROR(VLOOKUP($B17,'RA7-Mine Infrastructure Area'!$A$11:$BN$18,MATCH(Summary!X$1,'RA7-Mine Infrastructure Area'!$A$9:$BN$9,1),FALSE),0)+IFERROR(VLOOKUP($B17,'RA8-Water Management Structures'!$A$11:$BN$18,MATCH(Summary!X$1,'RA8-Water Management Structures'!$A$9:$BN$9,1),FALSE),0)+IFERROR(VLOOKUP($B17,'RA9-Codisposal Upper'!$A$11:$BN$18,MATCH(Summary!X$1,'RA9-Codisposal Upper'!$A$9:$BN$9,1),FALSE),0)+IFERROR(VLOOKUP($B17,'RA10-Codisposal Slopes'!$A$11:$BN$18,MATCH(Summary!X$1,'RA10-Codisposal Slopes'!$A$9:$BN$9,1),FALSE),0)+IFERROR(VLOOKUP($B17,'IA1-Final Void inc Ramps'!$A$11:$BN$18,MATCH(Summary!X$1,'IA1-Final Void inc Ramps'!$A$9:$BN$9,1),FALSE),0)</f>
        <v>0</v>
      </c>
      <c r="Y17" s="47">
        <f>IFERROR(VLOOKUP($B17,'RA1- Elevated Dumps Upper'!$A$11:$BN$18,MATCH(Summary!Y$1,'RA1- Elevated Dumps Upper'!$A$9:$BN$9,1),FALSE),0)+IFERROR(VLOOKUP($B17,'RA2-Elevated Dumps Slopes'!$A$11:$BN$18,MATCH(Summary!Y$1,'RA2-Elevated Dumps Slopes'!$A$9:$BN$9,1),FALSE),0)+IFERROR(VLOOKUP($B17,'RA3-Backfilled Pits'!$A$11:$BN$18,MATCH(Summary!Y$1,'RA3-Backfilled Pits'!$A$9:$BN$9,1),FALSE),0)+IFERROR(VLOOKUP($B17,'RA4-Tracks_Roads'!$A$11:$BN$18,MATCH(Summary!Y$1,'RA4-Tracks_Roads'!$A$9:$BN$9,1),FALSE),0)+IFERROR(VLOOKUP($B17,'RA5-ROM'!$A$11:$BN$18,MATCH(Summary!Y$1,'RA5-ROM'!$A$9:$BN$9,1),FALSE),0)+IFERROR(VLOOKUP($B17,'RA6-CHPP'!$A$11:$BN$18,MATCH(Summary!Y$1,'RA6-CHPP'!$A$9:$BN$9,1),FALSE),0)+IFERROR(VLOOKUP($B17,'RA7-Mine Infrastructure Area'!$A$11:$BN$18,MATCH(Summary!Y$1,'RA7-Mine Infrastructure Area'!$A$9:$BN$9,1),FALSE),0)+IFERROR(VLOOKUP($B17,'RA8-Water Management Structures'!$A$11:$BN$18,MATCH(Summary!Y$1,'RA8-Water Management Structures'!$A$9:$BN$9,1),FALSE),0)+IFERROR(VLOOKUP($B17,'RA9-Codisposal Upper'!$A$11:$BN$18,MATCH(Summary!Y$1,'RA9-Codisposal Upper'!$A$9:$BN$9,1),FALSE),0)+IFERROR(VLOOKUP($B17,'RA10-Codisposal Slopes'!$A$11:$BN$18,MATCH(Summary!Y$1,'RA10-Codisposal Slopes'!$A$9:$BN$9,1),FALSE),0)+IFERROR(VLOOKUP($B17,'IA1-Final Void inc Ramps'!$A$11:$BN$18,MATCH(Summary!Y$1,'IA1-Final Void inc Ramps'!$A$9:$BN$9,1),FALSE),0)</f>
        <v>0</v>
      </c>
      <c r="Z17" s="47">
        <f>IFERROR(VLOOKUP($B17,'RA1- Elevated Dumps Upper'!$A$11:$BN$18,MATCH(Summary!Z$1,'RA1- Elevated Dumps Upper'!$A$9:$BN$9,1),FALSE),0)+IFERROR(VLOOKUP($B17,'RA2-Elevated Dumps Slopes'!$A$11:$BN$18,MATCH(Summary!Z$1,'RA2-Elevated Dumps Slopes'!$A$9:$BN$9,1),FALSE),0)+IFERROR(VLOOKUP($B17,'RA3-Backfilled Pits'!$A$11:$BN$18,MATCH(Summary!Z$1,'RA3-Backfilled Pits'!$A$9:$BN$9,1),FALSE),0)+IFERROR(VLOOKUP($B17,'RA4-Tracks_Roads'!$A$11:$BN$18,MATCH(Summary!Z$1,'RA4-Tracks_Roads'!$A$9:$BN$9,1),FALSE),0)+IFERROR(VLOOKUP($B17,'RA5-ROM'!$A$11:$BN$18,MATCH(Summary!Z$1,'RA5-ROM'!$A$9:$BN$9,1),FALSE),0)+IFERROR(VLOOKUP($B17,'RA6-CHPP'!$A$11:$BN$18,MATCH(Summary!Z$1,'RA6-CHPP'!$A$9:$BN$9,1),FALSE),0)+IFERROR(VLOOKUP($B17,'RA7-Mine Infrastructure Area'!$A$11:$BN$18,MATCH(Summary!Z$1,'RA7-Mine Infrastructure Area'!$A$9:$BN$9,1),FALSE),0)+IFERROR(VLOOKUP($B17,'RA8-Water Management Structures'!$A$11:$BN$18,MATCH(Summary!Z$1,'RA8-Water Management Structures'!$A$9:$BN$9,1),FALSE),0)+IFERROR(VLOOKUP($B17,'RA9-Codisposal Upper'!$A$11:$BN$18,MATCH(Summary!Z$1,'RA9-Codisposal Upper'!$A$9:$BN$9,1),FALSE),0)+IFERROR(VLOOKUP($B17,'RA10-Codisposal Slopes'!$A$11:$BN$18,MATCH(Summary!Z$1,'RA10-Codisposal Slopes'!$A$9:$BN$9,1),FALSE),0)+IFERROR(VLOOKUP($B17,'IA1-Final Void inc Ramps'!$A$11:$BN$18,MATCH(Summary!Z$1,'IA1-Final Void inc Ramps'!$A$9:$BN$9,1),FALSE),0)</f>
        <v>0</v>
      </c>
      <c r="AA17" s="47">
        <f>IFERROR(VLOOKUP($B17,'RA1- Elevated Dumps Upper'!$A$11:$BN$18,MATCH(Summary!AA$1,'RA1- Elevated Dumps Upper'!$A$9:$BN$9,1),FALSE),0)+IFERROR(VLOOKUP($B17,'RA2-Elevated Dumps Slopes'!$A$11:$BN$18,MATCH(Summary!AA$1,'RA2-Elevated Dumps Slopes'!$A$9:$BN$9,1),FALSE),0)+IFERROR(VLOOKUP($B17,'RA3-Backfilled Pits'!$A$11:$BN$18,MATCH(Summary!AA$1,'RA3-Backfilled Pits'!$A$9:$BN$9,1),FALSE),0)+IFERROR(VLOOKUP($B17,'RA4-Tracks_Roads'!$A$11:$BN$18,MATCH(Summary!AA$1,'RA4-Tracks_Roads'!$A$9:$BN$9,1),FALSE),0)+IFERROR(VLOOKUP($B17,'RA5-ROM'!$A$11:$BN$18,MATCH(Summary!AA$1,'RA5-ROM'!$A$9:$BN$9,1),FALSE),0)+IFERROR(VLOOKUP($B17,'RA6-CHPP'!$A$11:$BN$18,MATCH(Summary!AA$1,'RA6-CHPP'!$A$9:$BN$9,1),FALSE),0)+IFERROR(VLOOKUP($B17,'RA7-Mine Infrastructure Area'!$A$11:$BN$18,MATCH(Summary!AA$1,'RA7-Mine Infrastructure Area'!$A$9:$BN$9,1),FALSE),0)+IFERROR(VLOOKUP($B17,'RA8-Water Management Structures'!$A$11:$BN$18,MATCH(Summary!AA$1,'RA8-Water Management Structures'!$A$9:$BN$9,1),FALSE),0)+IFERROR(VLOOKUP($B17,'RA9-Codisposal Upper'!$A$11:$BN$18,MATCH(Summary!AA$1,'RA9-Codisposal Upper'!$A$9:$BN$9,1),FALSE),0)+IFERROR(VLOOKUP($B17,'RA10-Codisposal Slopes'!$A$11:$BN$18,MATCH(Summary!AA$1,'RA10-Codisposal Slopes'!$A$9:$BN$9,1),FALSE),0)+IFERROR(VLOOKUP($B17,'IA1-Final Void inc Ramps'!$A$11:$BN$18,MATCH(Summary!AA$1,'IA1-Final Void inc Ramps'!$A$9:$BN$9,1),FALSE),0)</f>
        <v>0</v>
      </c>
      <c r="AB17" s="47">
        <f>IFERROR(VLOOKUP($B17,'RA1- Elevated Dumps Upper'!$A$11:$BN$18,MATCH(Summary!AB$1,'RA1- Elevated Dumps Upper'!$A$9:$BN$9,1),FALSE),0)+IFERROR(VLOOKUP($B17,'RA2-Elevated Dumps Slopes'!$A$11:$BN$18,MATCH(Summary!AB$1,'RA2-Elevated Dumps Slopes'!$A$9:$BN$9,1),FALSE),0)+IFERROR(VLOOKUP($B17,'RA3-Backfilled Pits'!$A$11:$BN$18,MATCH(Summary!AB$1,'RA3-Backfilled Pits'!$A$9:$BN$9,1),FALSE),0)+IFERROR(VLOOKUP($B17,'RA4-Tracks_Roads'!$A$11:$BN$18,MATCH(Summary!AB$1,'RA4-Tracks_Roads'!$A$9:$BN$9,1),FALSE),0)+IFERROR(VLOOKUP($B17,'RA5-ROM'!$A$11:$BN$18,MATCH(Summary!AB$1,'RA5-ROM'!$A$9:$BN$9,1),FALSE),0)+IFERROR(VLOOKUP($B17,'RA6-CHPP'!$A$11:$BN$18,MATCH(Summary!AB$1,'RA6-CHPP'!$A$9:$BN$9,1),FALSE),0)+IFERROR(VLOOKUP($B17,'RA7-Mine Infrastructure Area'!$A$11:$BN$18,MATCH(Summary!AB$1,'RA7-Mine Infrastructure Area'!$A$9:$BN$9,1),FALSE),0)+IFERROR(VLOOKUP($B17,'RA8-Water Management Structures'!$A$11:$BN$18,MATCH(Summary!AB$1,'RA8-Water Management Structures'!$A$9:$BN$9,1),FALSE),0)+IFERROR(VLOOKUP($B17,'RA9-Codisposal Upper'!$A$11:$BN$18,MATCH(Summary!AB$1,'RA9-Codisposal Upper'!$A$9:$BN$9,1),FALSE),0)+IFERROR(VLOOKUP($B17,'RA10-Codisposal Slopes'!$A$11:$BN$18,MATCH(Summary!AB$1,'RA10-Codisposal Slopes'!$A$9:$BN$9,1),FALSE),0)+IFERROR(VLOOKUP($B17,'IA1-Final Void inc Ramps'!$A$11:$BN$18,MATCH(Summary!AB$1,'IA1-Final Void inc Ramps'!$A$9:$BN$9,1),FALSE),0)</f>
        <v>0</v>
      </c>
      <c r="AC17" s="47">
        <f>IFERROR(VLOOKUP($B17,'RA1- Elevated Dumps Upper'!$A$11:$BN$18,MATCH(Summary!AC$1,'RA1- Elevated Dumps Upper'!$A$9:$BN$9,1),FALSE),0)+IFERROR(VLOOKUP($B17,'RA2-Elevated Dumps Slopes'!$A$11:$BN$18,MATCH(Summary!AC$1,'RA2-Elevated Dumps Slopes'!$A$9:$BN$9,1),FALSE),0)+IFERROR(VLOOKUP($B17,'RA3-Backfilled Pits'!$A$11:$BN$18,MATCH(Summary!AC$1,'RA3-Backfilled Pits'!$A$9:$BN$9,1),FALSE),0)+IFERROR(VLOOKUP($B17,'RA4-Tracks_Roads'!$A$11:$BN$18,MATCH(Summary!AC$1,'RA4-Tracks_Roads'!$A$9:$BN$9,1),FALSE),0)+IFERROR(VLOOKUP($B17,'RA5-ROM'!$A$11:$BN$18,MATCH(Summary!AC$1,'RA5-ROM'!$A$9:$BN$9,1),FALSE),0)+IFERROR(VLOOKUP($B17,'RA6-CHPP'!$A$11:$BN$18,MATCH(Summary!AC$1,'RA6-CHPP'!$A$9:$BN$9,1),FALSE),0)+IFERROR(VLOOKUP($B17,'RA7-Mine Infrastructure Area'!$A$11:$BN$18,MATCH(Summary!AC$1,'RA7-Mine Infrastructure Area'!$A$9:$BN$9,1),FALSE),0)+IFERROR(VLOOKUP($B17,'RA8-Water Management Structures'!$A$11:$BN$18,MATCH(Summary!AC$1,'RA8-Water Management Structures'!$A$9:$BN$9,1),FALSE),0)+IFERROR(VLOOKUP($B17,'RA9-Codisposal Upper'!$A$11:$BN$18,MATCH(Summary!AC$1,'RA9-Codisposal Upper'!$A$9:$BN$9,1),FALSE),0)+IFERROR(VLOOKUP($B17,'RA10-Codisposal Slopes'!$A$11:$BN$18,MATCH(Summary!AC$1,'RA10-Codisposal Slopes'!$A$9:$BN$9,1),FALSE),0)+IFERROR(VLOOKUP($B17,'IA1-Final Void inc Ramps'!$A$11:$BN$18,MATCH(Summary!AC$1,'IA1-Final Void inc Ramps'!$A$9:$BN$9,1),FALSE),0)</f>
        <v>0</v>
      </c>
      <c r="AD17" s="47">
        <f>IFERROR(VLOOKUP($B17,'RA1- Elevated Dumps Upper'!$A$11:$BN$18,MATCH(Summary!AD$1,'RA1- Elevated Dumps Upper'!$A$9:$BN$9,1),FALSE),0)+IFERROR(VLOOKUP($B17,'RA2-Elevated Dumps Slopes'!$A$11:$BN$18,MATCH(Summary!AD$1,'RA2-Elevated Dumps Slopes'!$A$9:$BN$9,1),FALSE),0)+IFERROR(VLOOKUP($B17,'RA3-Backfilled Pits'!$A$11:$BN$18,MATCH(Summary!AD$1,'RA3-Backfilled Pits'!$A$9:$BN$9,1),FALSE),0)+IFERROR(VLOOKUP($B17,'RA4-Tracks_Roads'!$A$11:$BN$18,MATCH(Summary!AD$1,'RA4-Tracks_Roads'!$A$9:$BN$9,1),FALSE),0)+IFERROR(VLOOKUP($B17,'RA5-ROM'!$A$11:$BN$18,MATCH(Summary!AD$1,'RA5-ROM'!$A$9:$BN$9,1),FALSE),0)+IFERROR(VLOOKUP($B17,'RA6-CHPP'!$A$11:$BN$18,MATCH(Summary!AD$1,'RA6-CHPP'!$A$9:$BN$9,1),FALSE),0)+IFERROR(VLOOKUP($B17,'RA7-Mine Infrastructure Area'!$A$11:$BN$18,MATCH(Summary!AD$1,'RA7-Mine Infrastructure Area'!$A$9:$BN$9,1),FALSE),0)+IFERROR(VLOOKUP($B17,'RA8-Water Management Structures'!$A$11:$BN$18,MATCH(Summary!AD$1,'RA8-Water Management Structures'!$A$9:$BN$9,1),FALSE),0)+IFERROR(VLOOKUP($B17,'RA9-Codisposal Upper'!$A$11:$BN$18,MATCH(Summary!AD$1,'RA9-Codisposal Upper'!$A$9:$BN$9,1),FALSE),0)+IFERROR(VLOOKUP($B17,'RA10-Codisposal Slopes'!$A$11:$BN$18,MATCH(Summary!AD$1,'RA10-Codisposal Slopes'!$A$9:$BN$9,1),FALSE),0)+IFERROR(VLOOKUP($B17,'IA1-Final Void inc Ramps'!$A$11:$BN$18,MATCH(Summary!AD$1,'IA1-Final Void inc Ramps'!$A$9:$BN$9,1),FALSE),0)</f>
        <v>0</v>
      </c>
      <c r="AE17" s="47">
        <f>IFERROR(VLOOKUP($B17,'RA1- Elevated Dumps Upper'!$A$11:$BN$18,MATCH(Summary!AE$1,'RA1- Elevated Dumps Upper'!$A$9:$BN$9,1),FALSE),0)+IFERROR(VLOOKUP($B17,'RA2-Elevated Dumps Slopes'!$A$11:$BN$18,MATCH(Summary!AE$1,'RA2-Elevated Dumps Slopes'!$A$9:$BN$9,1),FALSE),0)+IFERROR(VLOOKUP($B17,'RA3-Backfilled Pits'!$A$11:$BN$18,MATCH(Summary!AE$1,'RA3-Backfilled Pits'!$A$9:$BN$9,1),FALSE),0)+IFERROR(VLOOKUP($B17,'RA4-Tracks_Roads'!$A$11:$BN$18,MATCH(Summary!AE$1,'RA4-Tracks_Roads'!$A$9:$BN$9,1),FALSE),0)+IFERROR(VLOOKUP($B17,'RA5-ROM'!$A$11:$BN$18,MATCH(Summary!AE$1,'RA5-ROM'!$A$9:$BN$9,1),FALSE),0)+IFERROR(VLOOKUP($B17,'RA6-CHPP'!$A$11:$BN$18,MATCH(Summary!AE$1,'RA6-CHPP'!$A$9:$BN$9,1),FALSE),0)+IFERROR(VLOOKUP($B17,'RA7-Mine Infrastructure Area'!$A$11:$BN$18,MATCH(Summary!AE$1,'RA7-Mine Infrastructure Area'!$A$9:$BN$9,1),FALSE),0)+IFERROR(VLOOKUP($B17,'RA8-Water Management Structures'!$A$11:$BN$18,MATCH(Summary!AE$1,'RA8-Water Management Structures'!$A$9:$BN$9,1),FALSE),0)+IFERROR(VLOOKUP($B17,'RA9-Codisposal Upper'!$A$11:$BN$18,MATCH(Summary!AE$1,'RA9-Codisposal Upper'!$A$9:$BN$9,1),FALSE),0)+IFERROR(VLOOKUP($B17,'RA10-Codisposal Slopes'!$A$11:$BN$18,MATCH(Summary!AE$1,'RA10-Codisposal Slopes'!$A$9:$BN$9,1),FALSE),0)+IFERROR(VLOOKUP($B17,'IA1-Final Void inc Ramps'!$A$11:$BN$18,MATCH(Summary!AE$1,'IA1-Final Void inc Ramps'!$A$9:$BN$9,1),FALSE),0)</f>
        <v>0</v>
      </c>
      <c r="AF17" s="47">
        <f>IFERROR(VLOOKUP($B17,'RA1- Elevated Dumps Upper'!$A$11:$BN$18,MATCH(Summary!AF$1,'RA1- Elevated Dumps Upper'!$A$9:$BN$9,1),FALSE),0)+IFERROR(VLOOKUP($B17,'RA2-Elevated Dumps Slopes'!$A$11:$BN$18,MATCH(Summary!AF$1,'RA2-Elevated Dumps Slopes'!$A$9:$BN$9,1),FALSE),0)+IFERROR(VLOOKUP($B17,'RA3-Backfilled Pits'!$A$11:$BN$18,MATCH(Summary!AF$1,'RA3-Backfilled Pits'!$A$9:$BN$9,1),FALSE),0)+IFERROR(VLOOKUP($B17,'RA4-Tracks_Roads'!$A$11:$BN$18,MATCH(Summary!AF$1,'RA4-Tracks_Roads'!$A$9:$BN$9,1),FALSE),0)+IFERROR(VLOOKUP($B17,'RA5-ROM'!$A$11:$BN$18,MATCH(Summary!AF$1,'RA5-ROM'!$A$9:$BN$9,1),FALSE),0)+IFERROR(VLOOKUP($B17,'RA6-CHPP'!$A$11:$BN$18,MATCH(Summary!AF$1,'RA6-CHPP'!$A$9:$BN$9,1),FALSE),0)+IFERROR(VLOOKUP($B17,'RA7-Mine Infrastructure Area'!$A$11:$BN$18,MATCH(Summary!AF$1,'RA7-Mine Infrastructure Area'!$A$9:$BN$9,1),FALSE),0)+IFERROR(VLOOKUP($B17,'RA8-Water Management Structures'!$A$11:$BN$18,MATCH(Summary!AF$1,'RA8-Water Management Structures'!$A$9:$BN$9,1),FALSE),0)+IFERROR(VLOOKUP($B17,'RA9-Codisposal Upper'!$A$11:$BN$18,MATCH(Summary!AF$1,'RA9-Codisposal Upper'!$A$9:$BN$9,1),FALSE),0)+IFERROR(VLOOKUP($B17,'RA10-Codisposal Slopes'!$A$11:$BN$18,MATCH(Summary!AF$1,'RA10-Codisposal Slopes'!$A$9:$BN$9,1),FALSE),0)+IFERROR(VLOOKUP($B17,'IA1-Final Void inc Ramps'!$A$11:$BN$18,MATCH(Summary!AF$1,'IA1-Final Void inc Ramps'!$A$9:$BN$9,1),FALSE),0)</f>
        <v>24.1</v>
      </c>
      <c r="AG17" s="47">
        <f>IFERROR(VLOOKUP($B17,'RA1- Elevated Dumps Upper'!$A$11:$BN$18,MATCH(Summary!AG$1,'RA1- Elevated Dumps Upper'!$A$9:$BN$9,1),FALSE),0)+IFERROR(VLOOKUP($B17,'RA2-Elevated Dumps Slopes'!$A$11:$BN$18,MATCH(Summary!AG$1,'RA2-Elevated Dumps Slopes'!$A$9:$BN$9,1),FALSE),0)+IFERROR(VLOOKUP($B17,'RA3-Backfilled Pits'!$A$11:$BN$18,MATCH(Summary!AG$1,'RA3-Backfilled Pits'!$A$9:$BN$9,1),FALSE),0)+IFERROR(VLOOKUP($B17,'RA4-Tracks_Roads'!$A$11:$BN$18,MATCH(Summary!AG$1,'RA4-Tracks_Roads'!$A$9:$BN$9,1),FALSE),0)+IFERROR(VLOOKUP($B17,'RA5-ROM'!$A$11:$BN$18,MATCH(Summary!AG$1,'RA5-ROM'!$A$9:$BN$9,1),FALSE),0)+IFERROR(VLOOKUP($B17,'RA6-CHPP'!$A$11:$BN$18,MATCH(Summary!AG$1,'RA6-CHPP'!$A$9:$BN$9,1),FALSE),0)+IFERROR(VLOOKUP($B17,'RA7-Mine Infrastructure Area'!$A$11:$BN$18,MATCH(Summary!AG$1,'RA7-Mine Infrastructure Area'!$A$9:$BN$9,1),FALSE),0)+IFERROR(VLOOKUP($B17,'RA8-Water Management Structures'!$A$11:$BN$18,MATCH(Summary!AG$1,'RA8-Water Management Structures'!$A$9:$BN$9,1),FALSE),0)+IFERROR(VLOOKUP($B17,'RA9-Codisposal Upper'!$A$11:$BN$18,MATCH(Summary!AG$1,'RA9-Codisposal Upper'!$A$9:$BN$9,1),FALSE),0)+IFERROR(VLOOKUP($B17,'RA10-Codisposal Slopes'!$A$11:$BN$18,MATCH(Summary!AG$1,'RA10-Codisposal Slopes'!$A$9:$BN$9,1),FALSE),0)+IFERROR(VLOOKUP($B17,'IA1-Final Void inc Ramps'!$A$11:$BN$18,MATCH(Summary!AG$1,'IA1-Final Void inc Ramps'!$A$9:$BN$9,1),FALSE),0)</f>
        <v>208.3</v>
      </c>
      <c r="AH17" s="47">
        <f>IFERROR(VLOOKUP($B17,'RA1- Elevated Dumps Upper'!$A$11:$BN$18,MATCH(Summary!AH$1,'RA1- Elevated Dumps Upper'!$A$9:$BN$9,1),FALSE),0)+IFERROR(VLOOKUP($B17,'RA2-Elevated Dumps Slopes'!$A$11:$BN$18,MATCH(Summary!AH$1,'RA2-Elevated Dumps Slopes'!$A$9:$BN$9,1),FALSE),0)+IFERROR(VLOOKUP($B17,'RA3-Backfilled Pits'!$A$11:$BN$18,MATCH(Summary!AH$1,'RA3-Backfilled Pits'!$A$9:$BN$9,1),FALSE),0)+IFERROR(VLOOKUP($B17,'RA4-Tracks_Roads'!$A$11:$BN$18,MATCH(Summary!AH$1,'RA4-Tracks_Roads'!$A$9:$BN$9,1),FALSE),0)+IFERROR(VLOOKUP($B17,'RA5-ROM'!$A$11:$BN$18,MATCH(Summary!AH$1,'RA5-ROM'!$A$9:$BN$9,1),FALSE),0)+IFERROR(VLOOKUP($B17,'RA6-CHPP'!$A$11:$BN$18,MATCH(Summary!AH$1,'RA6-CHPP'!$A$9:$BN$9,1),FALSE),0)+IFERROR(VLOOKUP($B17,'RA7-Mine Infrastructure Area'!$A$11:$BN$18,MATCH(Summary!AH$1,'RA7-Mine Infrastructure Area'!$A$9:$BN$9,1),FALSE),0)+IFERROR(VLOOKUP($B17,'RA8-Water Management Structures'!$A$11:$BN$18,MATCH(Summary!AH$1,'RA8-Water Management Structures'!$A$9:$BN$9,1),FALSE),0)+IFERROR(VLOOKUP($B17,'RA9-Codisposal Upper'!$A$11:$BN$18,MATCH(Summary!AH$1,'RA9-Codisposal Upper'!$A$9:$BN$9,1),FALSE),0)+IFERROR(VLOOKUP($B17,'RA10-Codisposal Slopes'!$A$11:$BN$18,MATCH(Summary!AH$1,'RA10-Codisposal Slopes'!$A$9:$BN$9,1),FALSE),0)+IFERROR(VLOOKUP($B17,'IA1-Final Void inc Ramps'!$A$11:$BN$18,MATCH(Summary!AH$1,'IA1-Final Void inc Ramps'!$A$9:$BN$9,1),FALSE),0)</f>
        <v>243.303</v>
      </c>
      <c r="AI17" s="47">
        <f>IFERROR(VLOOKUP($B17,'RA1- Elevated Dumps Upper'!$A$11:$BN$18,MATCH(Summary!AI$1,'RA1- Elevated Dumps Upper'!$A$9:$BN$9,1),FALSE),0)+IFERROR(VLOOKUP($B17,'RA2-Elevated Dumps Slopes'!$A$11:$BN$18,MATCH(Summary!AI$1,'RA2-Elevated Dumps Slopes'!$A$9:$BN$9,1),FALSE),0)+IFERROR(VLOOKUP($B17,'RA3-Backfilled Pits'!$A$11:$BN$18,MATCH(Summary!AI$1,'RA3-Backfilled Pits'!$A$9:$BN$9,1),FALSE),0)+IFERROR(VLOOKUP($B17,'RA4-Tracks_Roads'!$A$11:$BN$18,MATCH(Summary!AI$1,'RA4-Tracks_Roads'!$A$9:$BN$9,1),FALSE),0)+IFERROR(VLOOKUP($B17,'RA5-ROM'!$A$11:$BN$18,MATCH(Summary!AI$1,'RA5-ROM'!$A$9:$BN$9,1),FALSE),0)+IFERROR(VLOOKUP($B17,'RA6-CHPP'!$A$11:$BN$18,MATCH(Summary!AI$1,'RA6-CHPP'!$A$9:$BN$9,1),FALSE),0)+IFERROR(VLOOKUP($B17,'RA7-Mine Infrastructure Area'!$A$11:$BN$18,MATCH(Summary!AI$1,'RA7-Mine Infrastructure Area'!$A$9:$BN$9,1),FALSE),0)+IFERROR(VLOOKUP($B17,'RA8-Water Management Structures'!$A$11:$BN$18,MATCH(Summary!AI$1,'RA8-Water Management Structures'!$A$9:$BN$9,1),FALSE),0)+IFERROR(VLOOKUP($B17,'RA9-Codisposal Upper'!$A$11:$BN$18,MATCH(Summary!AI$1,'RA9-Codisposal Upper'!$A$9:$BN$9,1),FALSE),0)+IFERROR(VLOOKUP($B17,'RA10-Codisposal Slopes'!$A$11:$BN$18,MATCH(Summary!AI$1,'RA10-Codisposal Slopes'!$A$9:$BN$9,1),FALSE),0)+IFERROR(VLOOKUP($B17,'IA1-Final Void inc Ramps'!$A$11:$BN$18,MATCH(Summary!AI$1,'IA1-Final Void inc Ramps'!$A$9:$BN$9,1),FALSE),0)</f>
        <v>569.90300000000002</v>
      </c>
      <c r="AJ17" s="47">
        <f>IFERROR(VLOOKUP($B17,'RA1- Elevated Dumps Upper'!$A$11:$BN$18,MATCH(Summary!AJ$1,'RA1- Elevated Dumps Upper'!$A$9:$BN$9,1),FALSE),0)+IFERROR(VLOOKUP($B17,'RA2-Elevated Dumps Slopes'!$A$11:$BN$18,MATCH(Summary!AJ$1,'RA2-Elevated Dumps Slopes'!$A$9:$BN$9,1),FALSE),0)+IFERROR(VLOOKUP($B17,'RA3-Backfilled Pits'!$A$11:$BN$18,MATCH(Summary!AJ$1,'RA3-Backfilled Pits'!$A$9:$BN$9,1),FALSE),0)+IFERROR(VLOOKUP($B17,'RA4-Tracks_Roads'!$A$11:$BN$18,MATCH(Summary!AJ$1,'RA4-Tracks_Roads'!$A$9:$BN$9,1),FALSE),0)+IFERROR(VLOOKUP($B17,'RA5-ROM'!$A$11:$BN$18,MATCH(Summary!AJ$1,'RA5-ROM'!$A$9:$BN$9,1),FALSE),0)+IFERROR(VLOOKUP($B17,'RA6-CHPP'!$A$11:$BN$18,MATCH(Summary!AJ$1,'RA6-CHPP'!$A$9:$BN$9,1),FALSE),0)+IFERROR(VLOOKUP($B17,'RA7-Mine Infrastructure Area'!$A$11:$BN$18,MATCH(Summary!AJ$1,'RA7-Mine Infrastructure Area'!$A$9:$BN$9,1),FALSE),0)+IFERROR(VLOOKUP($B17,'RA8-Water Management Structures'!$A$11:$BN$18,MATCH(Summary!AJ$1,'RA8-Water Management Structures'!$A$9:$BN$9,1),FALSE),0)+IFERROR(VLOOKUP($B17,'RA9-Codisposal Upper'!$A$11:$BN$18,MATCH(Summary!AJ$1,'RA9-Codisposal Upper'!$A$9:$BN$9,1),FALSE),0)+IFERROR(VLOOKUP($B17,'RA10-Codisposal Slopes'!$A$11:$BN$18,MATCH(Summary!AJ$1,'RA10-Codisposal Slopes'!$A$9:$BN$9,1),FALSE),0)+IFERROR(VLOOKUP($B17,'IA1-Final Void inc Ramps'!$A$11:$BN$18,MATCH(Summary!AJ$1,'IA1-Final Void inc Ramps'!$A$9:$BN$9,1),FALSE),0)</f>
        <v>569.90300000000002</v>
      </c>
      <c r="AK17" s="47">
        <f>IFERROR(VLOOKUP($B17,'RA1- Elevated Dumps Upper'!$A$11:$BN$18,MATCH(Summary!AK$1,'RA1- Elevated Dumps Upper'!$A$9:$BN$9,1),FALSE),0)+IFERROR(VLOOKUP($B17,'RA2-Elevated Dumps Slopes'!$A$11:$BN$18,MATCH(Summary!AK$1,'RA2-Elevated Dumps Slopes'!$A$9:$BN$9,1),FALSE),0)+IFERROR(VLOOKUP($B17,'RA3-Backfilled Pits'!$A$11:$BN$18,MATCH(Summary!AK$1,'RA3-Backfilled Pits'!$A$9:$BN$9,1),FALSE),0)+IFERROR(VLOOKUP($B17,'RA4-Tracks_Roads'!$A$11:$BN$18,MATCH(Summary!AK$1,'RA4-Tracks_Roads'!$A$9:$BN$9,1),FALSE),0)+IFERROR(VLOOKUP($B17,'RA5-ROM'!$A$11:$BN$18,MATCH(Summary!AK$1,'RA5-ROM'!$A$9:$BN$9,1),FALSE),0)+IFERROR(VLOOKUP($B17,'RA6-CHPP'!$A$11:$BN$18,MATCH(Summary!AK$1,'RA6-CHPP'!$A$9:$BN$9,1),FALSE),0)+IFERROR(VLOOKUP($B17,'RA7-Mine Infrastructure Area'!$A$11:$BN$18,MATCH(Summary!AK$1,'RA7-Mine Infrastructure Area'!$A$9:$BN$9,1),FALSE),0)+IFERROR(VLOOKUP($B17,'RA8-Water Management Structures'!$A$11:$BN$18,MATCH(Summary!AK$1,'RA8-Water Management Structures'!$A$9:$BN$9,1),FALSE),0)+IFERROR(VLOOKUP($B17,'RA9-Codisposal Upper'!$A$11:$BN$18,MATCH(Summary!AK$1,'RA9-Codisposal Upper'!$A$9:$BN$9,1),FALSE),0)+IFERROR(VLOOKUP($B17,'RA10-Codisposal Slopes'!$A$11:$BN$18,MATCH(Summary!AK$1,'RA10-Codisposal Slopes'!$A$9:$BN$9,1),FALSE),0)+IFERROR(VLOOKUP($B17,'IA1-Final Void inc Ramps'!$A$11:$BN$18,MATCH(Summary!AK$1,'IA1-Final Void inc Ramps'!$A$9:$BN$9,1),FALSE),0)</f>
        <v>569.90300000000002</v>
      </c>
      <c r="AL17" s="47">
        <f>IFERROR(VLOOKUP($B17,'RA1- Elevated Dumps Upper'!$A$11:$BN$18,MATCH(Summary!AL$1,'RA1- Elevated Dumps Upper'!$A$9:$BN$9,1),FALSE),0)+IFERROR(VLOOKUP($B17,'RA2-Elevated Dumps Slopes'!$A$11:$BN$18,MATCH(Summary!AL$1,'RA2-Elevated Dumps Slopes'!$A$9:$BN$9,1),FALSE),0)+IFERROR(VLOOKUP($B17,'RA3-Backfilled Pits'!$A$11:$BN$18,MATCH(Summary!AL$1,'RA3-Backfilled Pits'!$A$9:$BN$9,1),FALSE),0)+IFERROR(VLOOKUP($B17,'RA4-Tracks_Roads'!$A$11:$BN$18,MATCH(Summary!AL$1,'RA4-Tracks_Roads'!$A$9:$BN$9,1),FALSE),0)+IFERROR(VLOOKUP($B17,'RA5-ROM'!$A$11:$BN$18,MATCH(Summary!AL$1,'RA5-ROM'!$A$9:$BN$9,1),FALSE),0)+IFERROR(VLOOKUP($B17,'RA6-CHPP'!$A$11:$BN$18,MATCH(Summary!AL$1,'RA6-CHPP'!$A$9:$BN$9,1),FALSE),0)+IFERROR(VLOOKUP($B17,'RA7-Mine Infrastructure Area'!$A$11:$BN$18,MATCH(Summary!AL$1,'RA7-Mine Infrastructure Area'!$A$9:$BN$9,1),FALSE),0)+IFERROR(VLOOKUP($B17,'RA8-Water Management Structures'!$A$11:$BN$18,MATCH(Summary!AL$1,'RA8-Water Management Structures'!$A$9:$BN$9,1),FALSE),0)+IFERROR(VLOOKUP($B17,'RA9-Codisposal Upper'!$A$11:$BN$18,MATCH(Summary!AL$1,'RA9-Codisposal Upper'!$A$9:$BN$9,1),FALSE),0)+IFERROR(VLOOKUP($B17,'RA10-Codisposal Slopes'!$A$11:$BN$18,MATCH(Summary!AL$1,'RA10-Codisposal Slopes'!$A$9:$BN$9,1),FALSE),0)+IFERROR(VLOOKUP($B17,'IA1-Final Void inc Ramps'!$A$11:$BN$18,MATCH(Summary!AL$1,'IA1-Final Void inc Ramps'!$A$9:$BN$9,1),FALSE),0)</f>
        <v>569.90300000000002</v>
      </c>
      <c r="AM17" s="47">
        <f>IFERROR(VLOOKUP($B17,'RA1- Elevated Dumps Upper'!$A$11:$BN$18,MATCH(Summary!AM$1,'RA1- Elevated Dumps Upper'!$A$9:$BN$9,1),FALSE),0)+IFERROR(VLOOKUP($B17,'RA2-Elevated Dumps Slopes'!$A$11:$BN$18,MATCH(Summary!AM$1,'RA2-Elevated Dumps Slopes'!$A$9:$BN$9,1),FALSE),0)+IFERROR(VLOOKUP($B17,'RA3-Backfilled Pits'!$A$11:$BN$18,MATCH(Summary!AM$1,'RA3-Backfilled Pits'!$A$9:$BN$9,1),FALSE),0)+IFERROR(VLOOKUP($B17,'RA4-Tracks_Roads'!$A$11:$BN$18,MATCH(Summary!AM$1,'RA4-Tracks_Roads'!$A$9:$BN$9,1),FALSE),0)+IFERROR(VLOOKUP($B17,'RA5-ROM'!$A$11:$BN$18,MATCH(Summary!AM$1,'RA5-ROM'!$A$9:$BN$9,1),FALSE),0)+IFERROR(VLOOKUP($B17,'RA6-CHPP'!$A$11:$BN$18,MATCH(Summary!AM$1,'RA6-CHPP'!$A$9:$BN$9,1),FALSE),0)+IFERROR(VLOOKUP($B17,'RA7-Mine Infrastructure Area'!$A$11:$BN$18,MATCH(Summary!AM$1,'RA7-Mine Infrastructure Area'!$A$9:$BN$9,1),FALSE),0)+IFERROR(VLOOKUP($B17,'RA8-Water Management Structures'!$A$11:$BN$18,MATCH(Summary!AM$1,'RA8-Water Management Structures'!$A$9:$BN$9,1),FALSE),0)+IFERROR(VLOOKUP($B17,'RA9-Codisposal Upper'!$A$11:$BN$18,MATCH(Summary!AM$1,'RA9-Codisposal Upper'!$A$9:$BN$9,1),FALSE),0)+IFERROR(VLOOKUP($B17,'RA10-Codisposal Slopes'!$A$11:$BN$18,MATCH(Summary!AM$1,'RA10-Codisposal Slopes'!$A$9:$BN$9,1),FALSE),0)+IFERROR(VLOOKUP($B17,'IA1-Final Void inc Ramps'!$A$11:$BN$18,MATCH(Summary!AM$1,'IA1-Final Void inc Ramps'!$A$9:$BN$9,1),FALSE),0)</f>
        <v>569.90300000000002</v>
      </c>
      <c r="AN17" s="47">
        <f>IFERROR(VLOOKUP($B17,'RA1- Elevated Dumps Upper'!$A$11:$BN$18,MATCH(Summary!AN$1,'RA1- Elevated Dumps Upper'!$A$9:$BN$9,1),FALSE),0)+IFERROR(VLOOKUP($B17,'RA2-Elevated Dumps Slopes'!$A$11:$BN$18,MATCH(Summary!AN$1,'RA2-Elevated Dumps Slopes'!$A$9:$BN$9,1),FALSE),0)+IFERROR(VLOOKUP($B17,'RA3-Backfilled Pits'!$A$11:$BN$18,MATCH(Summary!AN$1,'RA3-Backfilled Pits'!$A$9:$BN$9,1),FALSE),0)+IFERROR(VLOOKUP($B17,'RA4-Tracks_Roads'!$A$11:$BN$18,MATCH(Summary!AN$1,'RA4-Tracks_Roads'!$A$9:$BN$9,1),FALSE),0)+IFERROR(VLOOKUP($B17,'RA5-ROM'!$A$11:$BN$18,MATCH(Summary!AN$1,'RA5-ROM'!$A$9:$BN$9,1),FALSE),0)+IFERROR(VLOOKUP($B17,'RA6-CHPP'!$A$11:$BN$18,MATCH(Summary!AN$1,'RA6-CHPP'!$A$9:$BN$9,1),FALSE),0)+IFERROR(VLOOKUP($B17,'RA7-Mine Infrastructure Area'!$A$11:$BN$18,MATCH(Summary!AN$1,'RA7-Mine Infrastructure Area'!$A$9:$BN$9,1),FALSE),0)+IFERROR(VLOOKUP($B17,'RA8-Water Management Structures'!$A$11:$BN$18,MATCH(Summary!AN$1,'RA8-Water Management Structures'!$A$9:$BN$9,1),FALSE),0)+IFERROR(VLOOKUP($B17,'RA9-Codisposal Upper'!$A$11:$BN$18,MATCH(Summary!AN$1,'RA9-Codisposal Upper'!$A$9:$BN$9,1),FALSE),0)+IFERROR(VLOOKUP($B17,'RA10-Codisposal Slopes'!$A$11:$BN$18,MATCH(Summary!AN$1,'RA10-Codisposal Slopes'!$A$9:$BN$9,1),FALSE),0)+IFERROR(VLOOKUP($B17,'IA1-Final Void inc Ramps'!$A$11:$BN$18,MATCH(Summary!AN$1,'IA1-Final Void inc Ramps'!$A$9:$BN$9,1),FALSE),0)</f>
        <v>569.90300000000002</v>
      </c>
      <c r="AO17" s="47">
        <f>IFERROR(VLOOKUP($B17,'RA1- Elevated Dumps Upper'!$A$11:$BN$18,MATCH(Summary!AO$1,'RA1- Elevated Dumps Upper'!$A$9:$BN$9,1),FALSE),0)+IFERROR(VLOOKUP($B17,'RA2-Elevated Dumps Slopes'!$A$11:$BN$18,MATCH(Summary!AO$1,'RA2-Elevated Dumps Slopes'!$A$9:$BN$9,1),FALSE),0)+IFERROR(VLOOKUP($B17,'RA3-Backfilled Pits'!$A$11:$BN$18,MATCH(Summary!AO$1,'RA3-Backfilled Pits'!$A$9:$BN$9,1),FALSE),0)+IFERROR(VLOOKUP($B17,'RA4-Tracks_Roads'!$A$11:$BN$18,MATCH(Summary!AO$1,'RA4-Tracks_Roads'!$A$9:$BN$9,1),FALSE),0)+IFERROR(VLOOKUP($B17,'RA5-ROM'!$A$11:$BN$18,MATCH(Summary!AO$1,'RA5-ROM'!$A$9:$BN$9,1),FALSE),0)+IFERROR(VLOOKUP($B17,'RA6-CHPP'!$A$11:$BN$18,MATCH(Summary!AO$1,'RA6-CHPP'!$A$9:$BN$9,1),FALSE),0)+IFERROR(VLOOKUP($B17,'RA7-Mine Infrastructure Area'!$A$11:$BN$18,MATCH(Summary!AO$1,'RA7-Mine Infrastructure Area'!$A$9:$BN$9,1),FALSE),0)+IFERROR(VLOOKUP($B17,'RA8-Water Management Structures'!$A$11:$BN$18,MATCH(Summary!AO$1,'RA8-Water Management Structures'!$A$9:$BN$9,1),FALSE),0)+IFERROR(VLOOKUP($B17,'RA9-Codisposal Upper'!$A$11:$BN$18,MATCH(Summary!AO$1,'RA9-Codisposal Upper'!$A$9:$BN$9,1),FALSE),0)+IFERROR(VLOOKUP($B17,'RA10-Codisposal Slopes'!$A$11:$BN$18,MATCH(Summary!AO$1,'RA10-Codisposal Slopes'!$A$9:$BN$9,1),FALSE),0)+IFERROR(VLOOKUP($B17,'IA1-Final Void inc Ramps'!$A$11:$BN$18,MATCH(Summary!AO$1,'IA1-Final Void inc Ramps'!$A$9:$BN$9,1),FALSE),0)</f>
        <v>569.90300000000002</v>
      </c>
      <c r="AP17" s="47">
        <f>IFERROR(VLOOKUP($B17,'RA1- Elevated Dumps Upper'!$A$11:$BN$18,MATCH(Summary!AP$1,'RA1- Elevated Dumps Upper'!$A$9:$BN$9,1),FALSE),0)+IFERROR(VLOOKUP($B17,'RA2-Elevated Dumps Slopes'!$A$11:$BN$18,MATCH(Summary!AP$1,'RA2-Elevated Dumps Slopes'!$A$9:$BN$9,1),FALSE),0)+IFERROR(VLOOKUP($B17,'RA3-Backfilled Pits'!$A$11:$BN$18,MATCH(Summary!AP$1,'RA3-Backfilled Pits'!$A$9:$BN$9,1),FALSE),0)+IFERROR(VLOOKUP($B17,'RA4-Tracks_Roads'!$A$11:$BN$18,MATCH(Summary!AP$1,'RA4-Tracks_Roads'!$A$9:$BN$9,1),FALSE),0)+IFERROR(VLOOKUP($B17,'RA5-ROM'!$A$11:$BN$18,MATCH(Summary!AP$1,'RA5-ROM'!$A$9:$BN$9,1),FALSE),0)+IFERROR(VLOOKUP($B17,'RA6-CHPP'!$A$11:$BN$18,MATCH(Summary!AP$1,'RA6-CHPP'!$A$9:$BN$9,1),FALSE),0)+IFERROR(VLOOKUP($B17,'RA7-Mine Infrastructure Area'!$A$11:$BN$18,MATCH(Summary!AP$1,'RA7-Mine Infrastructure Area'!$A$9:$BN$9,1),FALSE),0)+IFERROR(VLOOKUP($B17,'RA8-Water Management Structures'!$A$11:$BN$18,MATCH(Summary!AP$1,'RA8-Water Management Structures'!$A$9:$BN$9,1),FALSE),0)+IFERROR(VLOOKUP($B17,'RA9-Codisposal Upper'!$A$11:$BN$18,MATCH(Summary!AP$1,'RA9-Codisposal Upper'!$A$9:$BN$9,1),FALSE),0)+IFERROR(VLOOKUP($B17,'RA10-Codisposal Slopes'!$A$11:$BN$18,MATCH(Summary!AP$1,'RA10-Codisposal Slopes'!$A$9:$BN$9,1),FALSE),0)+IFERROR(VLOOKUP($B17,'IA1-Final Void inc Ramps'!$A$11:$BN$18,MATCH(Summary!AP$1,'IA1-Final Void inc Ramps'!$A$9:$BN$9,1),FALSE),0)</f>
        <v>569.90300000000002</v>
      </c>
      <c r="AQ17" s="47">
        <f>IFERROR(VLOOKUP($B17,'RA1- Elevated Dumps Upper'!$A$11:$BN$18,MATCH(Summary!AQ$1,'RA1- Elevated Dumps Upper'!$A$9:$BN$9,1),FALSE),0)+IFERROR(VLOOKUP($B17,'RA2-Elevated Dumps Slopes'!$A$11:$BN$18,MATCH(Summary!AQ$1,'RA2-Elevated Dumps Slopes'!$A$9:$BN$9,1),FALSE),0)+IFERROR(VLOOKUP($B17,'RA3-Backfilled Pits'!$A$11:$BN$18,MATCH(Summary!AQ$1,'RA3-Backfilled Pits'!$A$9:$BN$9,1),FALSE),0)+IFERROR(VLOOKUP($B17,'RA4-Tracks_Roads'!$A$11:$BN$18,MATCH(Summary!AQ$1,'RA4-Tracks_Roads'!$A$9:$BN$9,1),FALSE),0)+IFERROR(VLOOKUP($B17,'RA5-ROM'!$A$11:$BN$18,MATCH(Summary!AQ$1,'RA5-ROM'!$A$9:$BN$9,1),FALSE),0)+IFERROR(VLOOKUP($B17,'RA6-CHPP'!$A$11:$BN$18,MATCH(Summary!AQ$1,'RA6-CHPP'!$A$9:$BN$9,1),FALSE),0)+IFERROR(VLOOKUP($B17,'RA7-Mine Infrastructure Area'!$A$11:$BN$18,MATCH(Summary!AQ$1,'RA7-Mine Infrastructure Area'!$A$9:$BN$9,1),FALSE),0)+IFERROR(VLOOKUP($B17,'RA8-Water Management Structures'!$A$11:$BN$18,MATCH(Summary!AQ$1,'RA8-Water Management Structures'!$A$9:$BN$9,1),FALSE),0)+IFERROR(VLOOKUP($B17,'RA9-Codisposal Upper'!$A$11:$BN$18,MATCH(Summary!AQ$1,'RA9-Codisposal Upper'!$A$9:$BN$9,1),FALSE),0)+IFERROR(VLOOKUP($B17,'RA10-Codisposal Slopes'!$A$11:$BN$18,MATCH(Summary!AQ$1,'RA10-Codisposal Slopes'!$A$9:$BN$9,1),FALSE),0)+IFERROR(VLOOKUP($B17,'IA1-Final Void inc Ramps'!$A$11:$BN$18,MATCH(Summary!AQ$1,'IA1-Final Void inc Ramps'!$A$9:$BN$9,1),FALSE),0)</f>
        <v>569.90300000000002</v>
      </c>
      <c r="AR17" s="47">
        <f>IFERROR(VLOOKUP($B17,'RA1- Elevated Dumps Upper'!$A$11:$BN$18,MATCH(Summary!AR$1,'RA1- Elevated Dumps Upper'!$A$9:$BN$9,1),FALSE),0)+IFERROR(VLOOKUP($B17,'RA2-Elevated Dumps Slopes'!$A$11:$BN$18,MATCH(Summary!AR$1,'RA2-Elevated Dumps Slopes'!$A$9:$BN$9,1),FALSE),0)+IFERROR(VLOOKUP($B17,'RA3-Backfilled Pits'!$A$11:$BN$18,MATCH(Summary!AR$1,'RA3-Backfilled Pits'!$A$9:$BN$9,1),FALSE),0)+IFERROR(VLOOKUP($B17,'RA4-Tracks_Roads'!$A$11:$BN$18,MATCH(Summary!AR$1,'RA4-Tracks_Roads'!$A$9:$BN$9,1),FALSE),0)+IFERROR(VLOOKUP($B17,'RA5-ROM'!$A$11:$BN$18,MATCH(Summary!AR$1,'RA5-ROM'!$A$9:$BN$9,1),FALSE),0)+IFERROR(VLOOKUP($B17,'RA6-CHPP'!$A$11:$BN$18,MATCH(Summary!AR$1,'RA6-CHPP'!$A$9:$BN$9,1),FALSE),0)+IFERROR(VLOOKUP($B17,'RA7-Mine Infrastructure Area'!$A$11:$BN$18,MATCH(Summary!AR$1,'RA7-Mine Infrastructure Area'!$A$9:$BN$9,1),FALSE),0)+IFERROR(VLOOKUP($B17,'RA8-Water Management Structures'!$A$11:$BN$18,MATCH(Summary!AR$1,'RA8-Water Management Structures'!$A$9:$BN$9,1),FALSE),0)+IFERROR(VLOOKUP($B17,'RA9-Codisposal Upper'!$A$11:$BN$18,MATCH(Summary!AR$1,'RA9-Codisposal Upper'!$A$9:$BN$9,1),FALSE),0)+IFERROR(VLOOKUP($B17,'RA10-Codisposal Slopes'!$A$11:$BN$18,MATCH(Summary!AR$1,'RA10-Codisposal Slopes'!$A$9:$BN$9,1),FALSE),0)+IFERROR(VLOOKUP($B17,'IA1-Final Void inc Ramps'!$A$11:$BN$18,MATCH(Summary!AR$1,'IA1-Final Void inc Ramps'!$A$9:$BN$9,1),FALSE),0)</f>
        <v>569.90300000000002</v>
      </c>
      <c r="AS17" s="47">
        <f>IFERROR(VLOOKUP($B17,'RA1- Elevated Dumps Upper'!$A$11:$BN$18,MATCH(Summary!AS$1,'RA1- Elevated Dumps Upper'!$A$9:$BN$9,1),FALSE),0)+IFERROR(VLOOKUP($B17,'RA2-Elevated Dumps Slopes'!$A$11:$BN$18,MATCH(Summary!AS$1,'RA2-Elevated Dumps Slopes'!$A$9:$BN$9,1),FALSE),0)+IFERROR(VLOOKUP($B17,'RA3-Backfilled Pits'!$A$11:$BN$18,MATCH(Summary!AS$1,'RA3-Backfilled Pits'!$A$9:$BN$9,1),FALSE),0)+IFERROR(VLOOKUP($B17,'RA4-Tracks_Roads'!$A$11:$BN$18,MATCH(Summary!AS$1,'RA4-Tracks_Roads'!$A$9:$BN$9,1),FALSE),0)+IFERROR(VLOOKUP($B17,'RA5-ROM'!$A$11:$BN$18,MATCH(Summary!AS$1,'RA5-ROM'!$A$9:$BN$9,1),FALSE),0)+IFERROR(VLOOKUP($B17,'RA6-CHPP'!$A$11:$BN$18,MATCH(Summary!AS$1,'RA6-CHPP'!$A$9:$BN$9,1),FALSE),0)+IFERROR(VLOOKUP($B17,'RA7-Mine Infrastructure Area'!$A$11:$BN$18,MATCH(Summary!AS$1,'RA7-Mine Infrastructure Area'!$A$9:$BN$9,1),FALSE),0)+IFERROR(VLOOKUP($B17,'RA8-Water Management Structures'!$A$11:$BN$18,MATCH(Summary!AS$1,'RA8-Water Management Structures'!$A$9:$BN$9,1),FALSE),0)+IFERROR(VLOOKUP($B17,'RA9-Codisposal Upper'!$A$11:$BN$18,MATCH(Summary!AS$1,'RA9-Codisposal Upper'!$A$9:$BN$9,1),FALSE),0)+IFERROR(VLOOKUP($B17,'RA10-Codisposal Slopes'!$A$11:$BN$18,MATCH(Summary!AS$1,'RA10-Codisposal Slopes'!$A$9:$BN$9,1),FALSE),0)+IFERROR(VLOOKUP($B17,'IA1-Final Void inc Ramps'!$A$11:$BN$18,MATCH(Summary!AS$1,'IA1-Final Void inc Ramps'!$A$9:$BN$9,1),FALSE),0)</f>
        <v>569.90300000000002</v>
      </c>
      <c r="AT17" s="47">
        <f>IFERROR(VLOOKUP($B17,'RA1- Elevated Dumps Upper'!$A$11:$BN$18,MATCH(Summary!AT$1,'RA1- Elevated Dumps Upper'!$A$9:$BN$9,1),FALSE),0)+IFERROR(VLOOKUP($B17,'RA2-Elevated Dumps Slopes'!$A$11:$BN$18,MATCH(Summary!AT$1,'RA2-Elevated Dumps Slopes'!$A$9:$BN$9,1),FALSE),0)+IFERROR(VLOOKUP($B17,'RA3-Backfilled Pits'!$A$11:$BN$18,MATCH(Summary!AT$1,'RA3-Backfilled Pits'!$A$9:$BN$9,1),FALSE),0)+IFERROR(VLOOKUP($B17,'RA4-Tracks_Roads'!$A$11:$BN$18,MATCH(Summary!AT$1,'RA4-Tracks_Roads'!$A$9:$BN$9,1),FALSE),0)+IFERROR(VLOOKUP($B17,'RA5-ROM'!$A$11:$BN$18,MATCH(Summary!AT$1,'RA5-ROM'!$A$9:$BN$9,1),FALSE),0)+IFERROR(VLOOKUP($B17,'RA6-CHPP'!$A$11:$BN$18,MATCH(Summary!AT$1,'RA6-CHPP'!$A$9:$BN$9,1),FALSE),0)+IFERROR(VLOOKUP($B17,'RA7-Mine Infrastructure Area'!$A$11:$BN$18,MATCH(Summary!AT$1,'RA7-Mine Infrastructure Area'!$A$9:$BN$9,1),FALSE),0)+IFERROR(VLOOKUP($B17,'RA8-Water Management Structures'!$A$11:$BN$18,MATCH(Summary!AT$1,'RA8-Water Management Structures'!$A$9:$BN$9,1),FALSE),0)+IFERROR(VLOOKUP($B17,'RA9-Codisposal Upper'!$A$11:$BN$18,MATCH(Summary!AT$1,'RA9-Codisposal Upper'!$A$9:$BN$9,1),FALSE),0)+IFERROR(VLOOKUP($B17,'RA10-Codisposal Slopes'!$A$11:$BN$18,MATCH(Summary!AT$1,'RA10-Codisposal Slopes'!$A$9:$BN$9,1),FALSE),0)+IFERROR(VLOOKUP($B17,'IA1-Final Void inc Ramps'!$A$11:$BN$18,MATCH(Summary!AT$1,'IA1-Final Void inc Ramps'!$A$9:$BN$9,1),FALSE),0)</f>
        <v>569.90300000000002</v>
      </c>
      <c r="AU17" s="47">
        <f>IFERROR(VLOOKUP($B17,'RA1- Elevated Dumps Upper'!$A$11:$BN$18,MATCH(Summary!AU$1,'RA1- Elevated Dumps Upper'!$A$9:$BN$9,1),FALSE),0)+IFERROR(VLOOKUP($B17,'RA2-Elevated Dumps Slopes'!$A$11:$BN$18,MATCH(Summary!AU$1,'RA2-Elevated Dumps Slopes'!$A$9:$BN$9,1),FALSE),0)+IFERROR(VLOOKUP($B17,'RA3-Backfilled Pits'!$A$11:$BN$18,MATCH(Summary!AU$1,'RA3-Backfilled Pits'!$A$9:$BN$9,1),FALSE),0)+IFERROR(VLOOKUP($B17,'RA4-Tracks_Roads'!$A$11:$BN$18,MATCH(Summary!AU$1,'RA4-Tracks_Roads'!$A$9:$BN$9,1),FALSE),0)+IFERROR(VLOOKUP($B17,'RA5-ROM'!$A$11:$BN$18,MATCH(Summary!AU$1,'RA5-ROM'!$A$9:$BN$9,1),FALSE),0)+IFERROR(VLOOKUP($B17,'RA6-CHPP'!$A$11:$BN$18,MATCH(Summary!AU$1,'RA6-CHPP'!$A$9:$BN$9,1),FALSE),0)+IFERROR(VLOOKUP($B17,'RA7-Mine Infrastructure Area'!$A$11:$BN$18,MATCH(Summary!AU$1,'RA7-Mine Infrastructure Area'!$A$9:$BN$9,1),FALSE),0)+IFERROR(VLOOKUP($B17,'RA8-Water Management Structures'!$A$11:$BN$18,MATCH(Summary!AU$1,'RA8-Water Management Structures'!$A$9:$BN$9,1),FALSE),0)+IFERROR(VLOOKUP($B17,'RA9-Codisposal Upper'!$A$11:$BN$18,MATCH(Summary!AU$1,'RA9-Codisposal Upper'!$A$9:$BN$9,1),FALSE),0)+IFERROR(VLOOKUP($B17,'RA10-Codisposal Slopes'!$A$11:$BN$18,MATCH(Summary!AU$1,'RA10-Codisposal Slopes'!$A$9:$BN$9,1),FALSE),0)+IFERROR(VLOOKUP($B17,'IA1-Final Void inc Ramps'!$A$11:$BN$18,MATCH(Summary!AU$1,'IA1-Final Void inc Ramps'!$A$9:$BN$9,1),FALSE),0)</f>
        <v>569.90300000000002</v>
      </c>
      <c r="AV17" s="47">
        <f>IFERROR(VLOOKUP($B17,'RA1- Elevated Dumps Upper'!$A$11:$BN$18,MATCH(Summary!AV$1,'RA1- Elevated Dumps Upper'!$A$9:$BN$9,1),FALSE),0)+IFERROR(VLOOKUP($B17,'RA2-Elevated Dumps Slopes'!$A$11:$BN$18,MATCH(Summary!AV$1,'RA2-Elevated Dumps Slopes'!$A$9:$BN$9,1),FALSE),0)+IFERROR(VLOOKUP($B17,'RA3-Backfilled Pits'!$A$11:$BN$18,MATCH(Summary!AV$1,'RA3-Backfilled Pits'!$A$9:$BN$9,1),FALSE),0)+IFERROR(VLOOKUP($B17,'RA4-Tracks_Roads'!$A$11:$BN$18,MATCH(Summary!AV$1,'RA4-Tracks_Roads'!$A$9:$BN$9,1),FALSE),0)+IFERROR(VLOOKUP($B17,'RA5-ROM'!$A$11:$BN$18,MATCH(Summary!AV$1,'RA5-ROM'!$A$9:$BN$9,1),FALSE),0)+IFERROR(VLOOKUP($B17,'RA6-CHPP'!$A$11:$BN$18,MATCH(Summary!AV$1,'RA6-CHPP'!$A$9:$BN$9,1),FALSE),0)+IFERROR(VLOOKUP($B17,'RA7-Mine Infrastructure Area'!$A$11:$BN$18,MATCH(Summary!AV$1,'RA7-Mine Infrastructure Area'!$A$9:$BN$9,1),FALSE),0)+IFERROR(VLOOKUP($B17,'RA8-Water Management Structures'!$A$11:$BN$18,MATCH(Summary!AV$1,'RA8-Water Management Structures'!$A$9:$BN$9,1),FALSE),0)+IFERROR(VLOOKUP($B17,'RA9-Codisposal Upper'!$A$11:$BN$18,MATCH(Summary!AV$1,'RA9-Codisposal Upper'!$A$9:$BN$9,1),FALSE),0)+IFERROR(VLOOKUP($B17,'RA10-Codisposal Slopes'!$A$11:$BN$18,MATCH(Summary!AV$1,'RA10-Codisposal Slopes'!$A$9:$BN$9,1),FALSE),0)+IFERROR(VLOOKUP($B17,'IA1-Final Void inc Ramps'!$A$11:$BN$18,MATCH(Summary!AV$1,'IA1-Final Void inc Ramps'!$A$9:$BN$9,1),FALSE),0)</f>
        <v>569.90300000000002</v>
      </c>
      <c r="AW17" s="47">
        <f>IFERROR(VLOOKUP($B17,'RA1- Elevated Dumps Upper'!$A$11:$BN$18,MATCH(Summary!AW$1,'RA1- Elevated Dumps Upper'!$A$9:$BN$9,1),FALSE),0)+IFERROR(VLOOKUP($B17,'RA2-Elevated Dumps Slopes'!$A$11:$BN$18,MATCH(Summary!AW$1,'RA2-Elevated Dumps Slopes'!$A$9:$BN$9,1),FALSE),0)+IFERROR(VLOOKUP($B17,'RA3-Backfilled Pits'!$A$11:$BN$18,MATCH(Summary!AW$1,'RA3-Backfilled Pits'!$A$9:$BN$9,1),FALSE),0)+IFERROR(VLOOKUP($B17,'RA4-Tracks_Roads'!$A$11:$BN$18,MATCH(Summary!AW$1,'RA4-Tracks_Roads'!$A$9:$BN$9,1),FALSE),0)+IFERROR(VLOOKUP($B17,'RA5-ROM'!$A$11:$BN$18,MATCH(Summary!AW$1,'RA5-ROM'!$A$9:$BN$9,1),FALSE),0)+IFERROR(VLOOKUP($B17,'RA6-CHPP'!$A$11:$BN$18,MATCH(Summary!AW$1,'RA6-CHPP'!$A$9:$BN$9,1),FALSE),0)+IFERROR(VLOOKUP($B17,'RA7-Mine Infrastructure Area'!$A$11:$BN$18,MATCH(Summary!AW$1,'RA7-Mine Infrastructure Area'!$A$9:$BN$9,1),FALSE),0)+IFERROR(VLOOKUP($B17,'RA8-Water Management Structures'!$A$11:$BN$18,MATCH(Summary!AW$1,'RA8-Water Management Structures'!$A$9:$BN$9,1),FALSE),0)+IFERROR(VLOOKUP($B17,'RA9-Codisposal Upper'!$A$11:$BN$18,MATCH(Summary!AW$1,'RA9-Codisposal Upper'!$A$9:$BN$9,1),FALSE),0)+IFERROR(VLOOKUP($B17,'RA10-Codisposal Slopes'!$A$11:$BN$18,MATCH(Summary!AW$1,'RA10-Codisposal Slopes'!$A$9:$BN$9,1),FALSE),0)+IFERROR(VLOOKUP($B17,'IA1-Final Void inc Ramps'!$A$11:$BN$18,MATCH(Summary!AW$1,'IA1-Final Void inc Ramps'!$A$9:$BN$9,1),FALSE),0)</f>
        <v>569.90300000000002</v>
      </c>
      <c r="AX17" s="47">
        <f>IFERROR(VLOOKUP($B17,'RA1- Elevated Dumps Upper'!$A$11:$BN$18,MATCH(Summary!AX$1,'RA1- Elevated Dumps Upper'!$A$9:$BN$9,1),FALSE),0)+IFERROR(VLOOKUP($B17,'RA2-Elevated Dumps Slopes'!$A$11:$BN$18,MATCH(Summary!AX$1,'RA2-Elevated Dumps Slopes'!$A$9:$BN$9,1),FALSE),0)+IFERROR(VLOOKUP($B17,'RA3-Backfilled Pits'!$A$11:$BN$18,MATCH(Summary!AX$1,'RA3-Backfilled Pits'!$A$9:$BN$9,1),FALSE),0)+IFERROR(VLOOKUP($B17,'RA4-Tracks_Roads'!$A$11:$BN$18,MATCH(Summary!AX$1,'RA4-Tracks_Roads'!$A$9:$BN$9,1),FALSE),0)+IFERROR(VLOOKUP($B17,'RA5-ROM'!$A$11:$BN$18,MATCH(Summary!AX$1,'RA5-ROM'!$A$9:$BN$9,1),FALSE),0)+IFERROR(VLOOKUP($B17,'RA6-CHPP'!$A$11:$BN$18,MATCH(Summary!AX$1,'RA6-CHPP'!$A$9:$BN$9,1),FALSE),0)+IFERROR(VLOOKUP($B17,'RA7-Mine Infrastructure Area'!$A$11:$BN$18,MATCH(Summary!AX$1,'RA7-Mine Infrastructure Area'!$A$9:$BN$9,1),FALSE),0)+IFERROR(VLOOKUP($B17,'RA8-Water Management Structures'!$A$11:$BN$18,MATCH(Summary!AX$1,'RA8-Water Management Structures'!$A$9:$BN$9,1),FALSE),0)+IFERROR(VLOOKUP($B17,'RA9-Codisposal Upper'!$A$11:$BN$18,MATCH(Summary!AX$1,'RA9-Codisposal Upper'!$A$9:$BN$9,1),FALSE),0)+IFERROR(VLOOKUP($B17,'RA10-Codisposal Slopes'!$A$11:$BN$18,MATCH(Summary!AX$1,'RA10-Codisposal Slopes'!$A$9:$BN$9,1),FALSE),0)+IFERROR(VLOOKUP($B17,'IA1-Final Void inc Ramps'!$A$11:$BN$18,MATCH(Summary!AX$1,'IA1-Final Void inc Ramps'!$A$9:$BN$9,1),FALSE),0)</f>
        <v>569.90300000000002</v>
      </c>
      <c r="AY17" s="47">
        <f>IFERROR(VLOOKUP($B17,'RA1- Elevated Dumps Upper'!$A$11:$BN$18,MATCH(Summary!AY$1,'RA1- Elevated Dumps Upper'!$A$9:$BN$9,1),FALSE),0)+IFERROR(VLOOKUP($B17,'RA2-Elevated Dumps Slopes'!$A$11:$BN$18,MATCH(Summary!AY$1,'RA2-Elevated Dumps Slopes'!$A$9:$BN$9,1),FALSE),0)+IFERROR(VLOOKUP($B17,'RA3-Backfilled Pits'!$A$11:$BN$18,MATCH(Summary!AY$1,'RA3-Backfilled Pits'!$A$9:$BN$9,1),FALSE),0)+IFERROR(VLOOKUP($B17,'RA4-Tracks_Roads'!$A$11:$BN$18,MATCH(Summary!AY$1,'RA4-Tracks_Roads'!$A$9:$BN$9,1),FALSE),0)+IFERROR(VLOOKUP($B17,'RA5-ROM'!$A$11:$BN$18,MATCH(Summary!AY$1,'RA5-ROM'!$A$9:$BN$9,1),FALSE),0)+IFERROR(VLOOKUP($B17,'RA6-CHPP'!$A$11:$BN$18,MATCH(Summary!AY$1,'RA6-CHPP'!$A$9:$BN$9,1),FALSE),0)+IFERROR(VLOOKUP($B17,'RA7-Mine Infrastructure Area'!$A$11:$BN$18,MATCH(Summary!AY$1,'RA7-Mine Infrastructure Area'!$A$9:$BN$9,1),FALSE),0)+IFERROR(VLOOKUP($B17,'RA8-Water Management Structures'!$A$11:$BN$18,MATCH(Summary!AY$1,'RA8-Water Management Structures'!$A$9:$BN$9,1),FALSE),0)+IFERROR(VLOOKUP($B17,'RA9-Codisposal Upper'!$A$11:$BN$18,MATCH(Summary!AY$1,'RA9-Codisposal Upper'!$A$9:$BN$9,1),FALSE),0)+IFERROR(VLOOKUP($B17,'RA10-Codisposal Slopes'!$A$11:$BN$18,MATCH(Summary!AY$1,'RA10-Codisposal Slopes'!$A$9:$BN$9,1),FALSE),0)+IFERROR(VLOOKUP($B17,'IA1-Final Void inc Ramps'!$A$11:$BN$18,MATCH(Summary!AY$1,'IA1-Final Void inc Ramps'!$A$9:$BN$9,1),FALSE),0)</f>
        <v>569.90300000000002</v>
      </c>
      <c r="AZ17" s="47">
        <f>IFERROR(VLOOKUP($B17,'RA1- Elevated Dumps Upper'!$A$11:$BN$18,MATCH(Summary!AZ$1,'RA1- Elevated Dumps Upper'!$A$9:$BN$9,1),FALSE),0)+IFERROR(VLOOKUP($B17,'RA2-Elevated Dumps Slopes'!$A$11:$BN$18,MATCH(Summary!AZ$1,'RA2-Elevated Dumps Slopes'!$A$9:$BN$9,1),FALSE),0)+IFERROR(VLOOKUP($B17,'RA3-Backfilled Pits'!$A$11:$BN$18,MATCH(Summary!AZ$1,'RA3-Backfilled Pits'!$A$9:$BN$9,1),FALSE),0)+IFERROR(VLOOKUP($B17,'RA4-Tracks_Roads'!$A$11:$BN$18,MATCH(Summary!AZ$1,'RA4-Tracks_Roads'!$A$9:$BN$9,1),FALSE),0)+IFERROR(VLOOKUP($B17,'RA5-ROM'!$A$11:$BN$18,MATCH(Summary!AZ$1,'RA5-ROM'!$A$9:$BN$9,1),FALSE),0)+IFERROR(VLOOKUP($B17,'RA6-CHPP'!$A$11:$BN$18,MATCH(Summary!AZ$1,'RA6-CHPP'!$A$9:$BN$9,1),FALSE),0)+IFERROR(VLOOKUP($B17,'RA7-Mine Infrastructure Area'!$A$11:$BN$18,MATCH(Summary!AZ$1,'RA7-Mine Infrastructure Area'!$A$9:$BN$9,1),FALSE),0)+IFERROR(VLOOKUP($B17,'RA8-Water Management Structures'!$A$11:$BN$18,MATCH(Summary!AZ$1,'RA8-Water Management Structures'!$A$9:$BN$9,1),FALSE),0)+IFERROR(VLOOKUP($B17,'RA9-Codisposal Upper'!$A$11:$BN$18,MATCH(Summary!AZ$1,'RA9-Codisposal Upper'!$A$9:$BN$9,1),FALSE),0)+IFERROR(VLOOKUP($B17,'RA10-Codisposal Slopes'!$A$11:$BN$18,MATCH(Summary!AZ$1,'RA10-Codisposal Slopes'!$A$9:$BN$9,1),FALSE),0)+IFERROR(VLOOKUP($B17,'IA1-Final Void inc Ramps'!$A$11:$BN$18,MATCH(Summary!AZ$1,'IA1-Final Void inc Ramps'!$A$9:$BN$9,1),FALSE),0)</f>
        <v>569.90300000000002</v>
      </c>
      <c r="BA17" s="47">
        <f>IFERROR(VLOOKUP($B17,'RA1- Elevated Dumps Upper'!$A$11:$BN$18,MATCH(Summary!BA$1,'RA1- Elevated Dumps Upper'!$A$9:$BN$9,1),FALSE),0)+IFERROR(VLOOKUP($B17,'RA2-Elevated Dumps Slopes'!$A$11:$BN$18,MATCH(Summary!BA$1,'RA2-Elevated Dumps Slopes'!$A$9:$BN$9,1),FALSE),0)+IFERROR(VLOOKUP($B17,'RA3-Backfilled Pits'!$A$11:$BN$18,MATCH(Summary!BA$1,'RA3-Backfilled Pits'!$A$9:$BN$9,1),FALSE),0)+IFERROR(VLOOKUP($B17,'RA4-Tracks_Roads'!$A$11:$BN$18,MATCH(Summary!BA$1,'RA4-Tracks_Roads'!$A$9:$BN$9,1),FALSE),0)+IFERROR(VLOOKUP($B17,'RA5-ROM'!$A$11:$BN$18,MATCH(Summary!BA$1,'RA5-ROM'!$A$9:$BN$9,1),FALSE),0)+IFERROR(VLOOKUP($B17,'RA6-CHPP'!$A$11:$BN$18,MATCH(Summary!BA$1,'RA6-CHPP'!$A$9:$BN$9,1),FALSE),0)+IFERROR(VLOOKUP($B17,'RA7-Mine Infrastructure Area'!$A$11:$BN$18,MATCH(Summary!BA$1,'RA7-Mine Infrastructure Area'!$A$9:$BN$9,1),FALSE),0)+IFERROR(VLOOKUP($B17,'RA8-Water Management Structures'!$A$11:$BN$18,MATCH(Summary!BA$1,'RA8-Water Management Structures'!$A$9:$BN$9,1),FALSE),0)+IFERROR(VLOOKUP($B17,'RA9-Codisposal Upper'!$A$11:$BN$18,MATCH(Summary!BA$1,'RA9-Codisposal Upper'!$A$9:$BN$9,1),FALSE),0)+IFERROR(VLOOKUP($B17,'RA10-Codisposal Slopes'!$A$11:$BN$18,MATCH(Summary!BA$1,'RA10-Codisposal Slopes'!$A$9:$BN$9,1),FALSE),0)+IFERROR(VLOOKUP($B17,'IA1-Final Void inc Ramps'!$A$11:$BN$18,MATCH(Summary!BA$1,'IA1-Final Void inc Ramps'!$A$9:$BN$9,1),FALSE),0)</f>
        <v>569.90300000000002</v>
      </c>
      <c r="BB17" s="47">
        <f>IFERROR(VLOOKUP($B17,'RA1- Elevated Dumps Upper'!$A$11:$BN$18,MATCH(Summary!BB$1,'RA1- Elevated Dumps Upper'!$A$9:$BN$9,1),FALSE),0)+IFERROR(VLOOKUP($B17,'RA2-Elevated Dumps Slopes'!$A$11:$BN$18,MATCH(Summary!BB$1,'RA2-Elevated Dumps Slopes'!$A$9:$BN$9,1),FALSE),0)+IFERROR(VLOOKUP($B17,'RA3-Backfilled Pits'!$A$11:$BN$18,MATCH(Summary!BB$1,'RA3-Backfilled Pits'!$A$9:$BN$9,1),FALSE),0)+IFERROR(VLOOKUP($B17,'RA4-Tracks_Roads'!$A$11:$BN$18,MATCH(Summary!BB$1,'RA4-Tracks_Roads'!$A$9:$BN$9,1),FALSE),0)+IFERROR(VLOOKUP($B17,'RA5-ROM'!$A$11:$BN$18,MATCH(Summary!BB$1,'RA5-ROM'!$A$9:$BN$9,1),FALSE),0)+IFERROR(VLOOKUP($B17,'RA6-CHPP'!$A$11:$BN$18,MATCH(Summary!BB$1,'RA6-CHPP'!$A$9:$BN$9,1),FALSE),0)+IFERROR(VLOOKUP($B17,'RA7-Mine Infrastructure Area'!$A$11:$BN$18,MATCH(Summary!BB$1,'RA7-Mine Infrastructure Area'!$A$9:$BN$9,1),FALSE),0)+IFERROR(VLOOKUP($B17,'RA8-Water Management Structures'!$A$11:$BN$18,MATCH(Summary!BB$1,'RA8-Water Management Structures'!$A$9:$BN$9,1),FALSE),0)+IFERROR(VLOOKUP($B17,'RA9-Codisposal Upper'!$A$11:$BN$18,MATCH(Summary!BB$1,'RA9-Codisposal Upper'!$A$9:$BN$9,1),FALSE),0)+IFERROR(VLOOKUP($B17,'RA10-Codisposal Slopes'!$A$11:$BN$18,MATCH(Summary!BB$1,'RA10-Codisposal Slopes'!$A$9:$BN$9,1),FALSE),0)+IFERROR(VLOOKUP($B17,'IA1-Final Void inc Ramps'!$A$11:$BN$18,MATCH(Summary!BB$1,'IA1-Final Void inc Ramps'!$A$9:$BN$9,1),FALSE),0)</f>
        <v>569.90300000000002</v>
      </c>
      <c r="BC17" s="47">
        <f>IFERROR(VLOOKUP($B17,'RA1- Elevated Dumps Upper'!$A$11:$BN$18,MATCH(Summary!BC$1,'RA1- Elevated Dumps Upper'!$A$9:$BN$9,1),FALSE),0)+IFERROR(VLOOKUP($B17,'RA2-Elevated Dumps Slopes'!$A$11:$BN$18,MATCH(Summary!BC$1,'RA2-Elevated Dumps Slopes'!$A$9:$BN$9,1),FALSE),0)+IFERROR(VLOOKUP($B17,'RA3-Backfilled Pits'!$A$11:$BN$18,MATCH(Summary!BC$1,'RA3-Backfilled Pits'!$A$9:$BN$9,1),FALSE),0)+IFERROR(VLOOKUP($B17,'RA4-Tracks_Roads'!$A$11:$BN$18,MATCH(Summary!BC$1,'RA4-Tracks_Roads'!$A$9:$BN$9,1),FALSE),0)+IFERROR(VLOOKUP($B17,'RA5-ROM'!$A$11:$BN$18,MATCH(Summary!BC$1,'RA5-ROM'!$A$9:$BN$9,1),FALSE),0)+IFERROR(VLOOKUP($B17,'RA6-CHPP'!$A$11:$BN$18,MATCH(Summary!BC$1,'RA6-CHPP'!$A$9:$BN$9,1),FALSE),0)+IFERROR(VLOOKUP($B17,'RA7-Mine Infrastructure Area'!$A$11:$BN$18,MATCH(Summary!BC$1,'RA7-Mine Infrastructure Area'!$A$9:$BN$9,1),FALSE),0)+IFERROR(VLOOKUP($B17,'RA8-Water Management Structures'!$A$11:$BN$18,MATCH(Summary!BC$1,'RA8-Water Management Structures'!$A$9:$BN$9,1),FALSE),0)+IFERROR(VLOOKUP($B17,'RA9-Codisposal Upper'!$A$11:$BN$18,MATCH(Summary!BC$1,'RA9-Codisposal Upper'!$A$9:$BN$9,1),FALSE),0)+IFERROR(VLOOKUP($B17,'RA10-Codisposal Slopes'!$A$11:$BN$18,MATCH(Summary!BC$1,'RA10-Codisposal Slopes'!$A$9:$BN$9,1),FALSE),0)+IFERROR(VLOOKUP($B17,'IA1-Final Void inc Ramps'!$A$11:$BN$18,MATCH(Summary!BC$1,'IA1-Final Void inc Ramps'!$A$9:$BN$9,1),FALSE),0)</f>
        <v>569.90300000000002</v>
      </c>
      <c r="BD17" s="47">
        <f>IFERROR(VLOOKUP($B17,'RA1- Elevated Dumps Upper'!$A$11:$BN$18,MATCH(Summary!BD$1,'RA1- Elevated Dumps Upper'!$A$9:$BN$9,1),FALSE),0)+IFERROR(VLOOKUP($B17,'RA2-Elevated Dumps Slopes'!$A$11:$BN$18,MATCH(Summary!BD$1,'RA2-Elevated Dumps Slopes'!$A$9:$BN$9,1),FALSE),0)+IFERROR(VLOOKUP($B17,'RA3-Backfilled Pits'!$A$11:$BN$18,MATCH(Summary!BD$1,'RA3-Backfilled Pits'!$A$9:$BN$9,1),FALSE),0)+IFERROR(VLOOKUP($B17,'RA4-Tracks_Roads'!$A$11:$BN$18,MATCH(Summary!BD$1,'RA4-Tracks_Roads'!$A$9:$BN$9,1),FALSE),0)+IFERROR(VLOOKUP($B17,'RA5-ROM'!$A$11:$BN$18,MATCH(Summary!BD$1,'RA5-ROM'!$A$9:$BN$9,1),FALSE),0)+IFERROR(VLOOKUP($B17,'RA6-CHPP'!$A$11:$BN$18,MATCH(Summary!BD$1,'RA6-CHPP'!$A$9:$BN$9,1),FALSE),0)+IFERROR(VLOOKUP($B17,'RA7-Mine Infrastructure Area'!$A$11:$BN$18,MATCH(Summary!BD$1,'RA7-Mine Infrastructure Area'!$A$9:$BN$9,1),FALSE),0)+IFERROR(VLOOKUP($B17,'RA8-Water Management Structures'!$A$11:$BN$18,MATCH(Summary!BD$1,'RA8-Water Management Structures'!$A$9:$BN$9,1),FALSE),0)+IFERROR(VLOOKUP($B17,'RA9-Codisposal Upper'!$A$11:$BN$18,MATCH(Summary!BD$1,'RA9-Codisposal Upper'!$A$9:$BN$9,1),FALSE),0)+IFERROR(VLOOKUP($B17,'RA10-Codisposal Slopes'!$A$11:$BN$18,MATCH(Summary!BD$1,'RA10-Codisposal Slopes'!$A$9:$BN$9,1),FALSE),0)+IFERROR(VLOOKUP($B17,'IA1-Final Void inc Ramps'!$A$11:$BN$18,MATCH(Summary!BD$1,'IA1-Final Void inc Ramps'!$A$9:$BN$9,1),FALSE),0)</f>
        <v>569.90300000000002</v>
      </c>
      <c r="BE17" s="47">
        <f>IFERROR(VLOOKUP($B17,'RA1- Elevated Dumps Upper'!$A$11:$BN$18,MATCH(Summary!BE$1,'RA1- Elevated Dumps Upper'!$A$9:$BN$9,1),FALSE),0)+IFERROR(VLOOKUP($B17,'RA2-Elevated Dumps Slopes'!$A$11:$BN$18,MATCH(Summary!BE$1,'RA2-Elevated Dumps Slopes'!$A$9:$BN$9,1),FALSE),0)+IFERROR(VLOOKUP($B17,'RA3-Backfilled Pits'!$A$11:$BN$18,MATCH(Summary!BE$1,'RA3-Backfilled Pits'!$A$9:$BN$9,1),FALSE),0)+IFERROR(VLOOKUP($B17,'RA4-Tracks_Roads'!$A$11:$BN$18,MATCH(Summary!BE$1,'RA4-Tracks_Roads'!$A$9:$BN$9,1),FALSE),0)+IFERROR(VLOOKUP($B17,'RA5-ROM'!$A$11:$BN$18,MATCH(Summary!BE$1,'RA5-ROM'!$A$9:$BN$9,1),FALSE),0)+IFERROR(VLOOKUP($B17,'RA6-CHPP'!$A$11:$BN$18,MATCH(Summary!BE$1,'RA6-CHPP'!$A$9:$BN$9,1),FALSE),0)+IFERROR(VLOOKUP($B17,'RA7-Mine Infrastructure Area'!$A$11:$BN$18,MATCH(Summary!BE$1,'RA7-Mine Infrastructure Area'!$A$9:$BN$9,1),FALSE),0)+IFERROR(VLOOKUP($B17,'RA8-Water Management Structures'!$A$11:$BN$18,MATCH(Summary!BE$1,'RA8-Water Management Structures'!$A$9:$BN$9,1),FALSE),0)+IFERROR(VLOOKUP($B17,'RA9-Codisposal Upper'!$A$11:$BN$18,MATCH(Summary!BE$1,'RA9-Codisposal Upper'!$A$9:$BN$9,1),FALSE),0)+IFERROR(VLOOKUP($B17,'RA10-Codisposal Slopes'!$A$11:$BN$18,MATCH(Summary!BE$1,'RA10-Codisposal Slopes'!$A$9:$BN$9,1),FALSE),0)+IFERROR(VLOOKUP($B17,'IA1-Final Void inc Ramps'!$A$11:$BN$18,MATCH(Summary!BE$1,'IA1-Final Void inc Ramps'!$A$9:$BN$9,1),FALSE),0)</f>
        <v>569.90300000000002</v>
      </c>
      <c r="BF17" s="47">
        <f>IFERROR(VLOOKUP($B17,'RA1- Elevated Dumps Upper'!$A$11:$BN$18,MATCH(Summary!BF$1,'RA1- Elevated Dumps Upper'!$A$9:$BN$9,1),FALSE),0)+IFERROR(VLOOKUP($B17,'RA2-Elevated Dumps Slopes'!$A$11:$BN$18,MATCH(Summary!BF$1,'RA2-Elevated Dumps Slopes'!$A$9:$BN$9,1),FALSE),0)+IFERROR(VLOOKUP($B17,'RA3-Backfilled Pits'!$A$11:$BN$18,MATCH(Summary!BF$1,'RA3-Backfilled Pits'!$A$9:$BN$9,1),FALSE),0)+IFERROR(VLOOKUP($B17,'RA4-Tracks_Roads'!$A$11:$BN$18,MATCH(Summary!BF$1,'RA4-Tracks_Roads'!$A$9:$BN$9,1),FALSE),0)+IFERROR(VLOOKUP($B17,'RA5-ROM'!$A$11:$BN$18,MATCH(Summary!BF$1,'RA5-ROM'!$A$9:$BN$9,1),FALSE),0)+IFERROR(VLOOKUP($B17,'RA6-CHPP'!$A$11:$BN$18,MATCH(Summary!BF$1,'RA6-CHPP'!$A$9:$BN$9,1),FALSE),0)+IFERROR(VLOOKUP($B17,'RA7-Mine Infrastructure Area'!$A$11:$BN$18,MATCH(Summary!BF$1,'RA7-Mine Infrastructure Area'!$A$9:$BN$9,1),FALSE),0)+IFERROR(VLOOKUP($B17,'RA8-Water Management Structures'!$A$11:$BN$18,MATCH(Summary!BF$1,'RA8-Water Management Structures'!$A$9:$BN$9,1),FALSE),0)+IFERROR(VLOOKUP($B17,'RA9-Codisposal Upper'!$A$11:$BN$18,MATCH(Summary!BF$1,'RA9-Codisposal Upper'!$A$9:$BN$9,1),FALSE),0)+IFERROR(VLOOKUP($B17,'RA10-Codisposal Slopes'!$A$11:$BN$18,MATCH(Summary!BF$1,'RA10-Codisposal Slopes'!$A$9:$BN$9,1),FALSE),0)+IFERROR(VLOOKUP($B17,'IA1-Final Void inc Ramps'!$A$11:$BN$18,MATCH(Summary!BF$1,'IA1-Final Void inc Ramps'!$A$9:$BN$9,1),FALSE),0)</f>
        <v>569.90300000000002</v>
      </c>
      <c r="BG17" s="47">
        <f>IFERROR(VLOOKUP($B17,'RA1- Elevated Dumps Upper'!$A$11:$BN$18,MATCH(Summary!BG$1,'RA1- Elevated Dumps Upper'!$A$9:$BN$9,1),FALSE),0)+IFERROR(VLOOKUP($B17,'RA2-Elevated Dumps Slopes'!$A$11:$BN$18,MATCH(Summary!BG$1,'RA2-Elevated Dumps Slopes'!$A$9:$BN$9,1),FALSE),0)+IFERROR(VLOOKUP($B17,'RA3-Backfilled Pits'!$A$11:$BN$18,MATCH(Summary!BG$1,'RA3-Backfilled Pits'!$A$9:$BN$9,1),FALSE),0)+IFERROR(VLOOKUP($B17,'RA4-Tracks_Roads'!$A$11:$BN$18,MATCH(Summary!BG$1,'RA4-Tracks_Roads'!$A$9:$BN$9,1),FALSE),0)+IFERROR(VLOOKUP($B17,'RA5-ROM'!$A$11:$BN$18,MATCH(Summary!BG$1,'RA5-ROM'!$A$9:$BN$9,1),FALSE),0)+IFERROR(VLOOKUP($B17,'RA6-CHPP'!$A$11:$BN$18,MATCH(Summary!BG$1,'RA6-CHPP'!$A$9:$BN$9,1),FALSE),0)+IFERROR(VLOOKUP($B17,'RA7-Mine Infrastructure Area'!$A$11:$BN$18,MATCH(Summary!BG$1,'RA7-Mine Infrastructure Area'!$A$9:$BN$9,1),FALSE),0)+IFERROR(VLOOKUP($B17,'RA8-Water Management Structures'!$A$11:$BN$18,MATCH(Summary!BG$1,'RA8-Water Management Structures'!$A$9:$BN$9,1),FALSE),0)+IFERROR(VLOOKUP($B17,'RA9-Codisposal Upper'!$A$11:$BN$18,MATCH(Summary!BG$1,'RA9-Codisposal Upper'!$A$9:$BN$9,1),FALSE),0)+IFERROR(VLOOKUP($B17,'RA10-Codisposal Slopes'!$A$11:$BN$18,MATCH(Summary!BG$1,'RA10-Codisposal Slopes'!$A$9:$BN$9,1),FALSE),0)+IFERROR(VLOOKUP($B17,'IA1-Final Void inc Ramps'!$A$11:$BN$18,MATCH(Summary!BG$1,'IA1-Final Void inc Ramps'!$A$9:$BN$9,1),FALSE),0)</f>
        <v>569.90300000000002</v>
      </c>
      <c r="BH17" s="47">
        <f>IFERROR(VLOOKUP($B17,'RA1- Elevated Dumps Upper'!$A$11:$BN$18,MATCH(Summary!BH$1,'RA1- Elevated Dumps Upper'!$A$9:$BN$9,1),FALSE),0)+IFERROR(VLOOKUP($B17,'RA2-Elevated Dumps Slopes'!$A$11:$BN$18,MATCH(Summary!BH$1,'RA2-Elevated Dumps Slopes'!$A$9:$BN$9,1),FALSE),0)+IFERROR(VLOOKUP($B17,'RA3-Backfilled Pits'!$A$11:$BN$18,MATCH(Summary!BH$1,'RA3-Backfilled Pits'!$A$9:$BN$9,1),FALSE),0)+IFERROR(VLOOKUP($B17,'RA4-Tracks_Roads'!$A$11:$BN$18,MATCH(Summary!BH$1,'RA4-Tracks_Roads'!$A$9:$BN$9,1),FALSE),0)+IFERROR(VLOOKUP($B17,'RA5-ROM'!$A$11:$BN$18,MATCH(Summary!BH$1,'RA5-ROM'!$A$9:$BN$9,1),FALSE),0)+IFERROR(VLOOKUP($B17,'RA6-CHPP'!$A$11:$BN$18,MATCH(Summary!BH$1,'RA6-CHPP'!$A$9:$BN$9,1),FALSE),0)+IFERROR(VLOOKUP($B17,'RA7-Mine Infrastructure Area'!$A$11:$BN$18,MATCH(Summary!BH$1,'RA7-Mine Infrastructure Area'!$A$9:$BN$9,1),FALSE),0)+IFERROR(VLOOKUP($B17,'RA8-Water Management Structures'!$A$11:$BN$18,MATCH(Summary!BH$1,'RA8-Water Management Structures'!$A$9:$BN$9,1),FALSE),0)+IFERROR(VLOOKUP($B17,'RA9-Codisposal Upper'!$A$11:$BN$18,MATCH(Summary!BH$1,'RA9-Codisposal Upper'!$A$9:$BN$9,1),FALSE),0)+IFERROR(VLOOKUP($B17,'RA10-Codisposal Slopes'!$A$11:$BN$18,MATCH(Summary!BH$1,'RA10-Codisposal Slopes'!$A$9:$BN$9,1),FALSE),0)+IFERROR(VLOOKUP($B17,'IA1-Final Void inc Ramps'!$A$11:$BN$18,MATCH(Summary!BH$1,'IA1-Final Void inc Ramps'!$A$9:$BN$9,1),FALSE),0)</f>
        <v>569.90300000000002</v>
      </c>
      <c r="BI17" s="47">
        <f>IFERROR(VLOOKUP($B17,'RA1- Elevated Dumps Upper'!$A$11:$BN$18,MATCH(Summary!BI$1,'RA1- Elevated Dumps Upper'!$A$9:$BN$9,1),FALSE),0)+IFERROR(VLOOKUP($B17,'RA2-Elevated Dumps Slopes'!$A$11:$BN$18,MATCH(Summary!BI$1,'RA2-Elevated Dumps Slopes'!$A$9:$BN$9,1),FALSE),0)+IFERROR(VLOOKUP($B17,'RA3-Backfilled Pits'!$A$11:$BN$18,MATCH(Summary!BI$1,'RA3-Backfilled Pits'!$A$9:$BN$9,1),FALSE),0)+IFERROR(VLOOKUP($B17,'RA4-Tracks_Roads'!$A$11:$BN$18,MATCH(Summary!BI$1,'RA4-Tracks_Roads'!$A$9:$BN$9,1),FALSE),0)+IFERROR(VLOOKUP($B17,'RA5-ROM'!$A$11:$BN$18,MATCH(Summary!BI$1,'RA5-ROM'!$A$9:$BN$9,1),FALSE),0)+IFERROR(VLOOKUP($B17,'RA6-CHPP'!$A$11:$BN$18,MATCH(Summary!BI$1,'RA6-CHPP'!$A$9:$BN$9,1),FALSE),0)+IFERROR(VLOOKUP($B17,'RA7-Mine Infrastructure Area'!$A$11:$BN$18,MATCH(Summary!BI$1,'RA7-Mine Infrastructure Area'!$A$9:$BN$9,1),FALSE),0)+IFERROR(VLOOKUP($B17,'RA8-Water Management Structures'!$A$11:$BN$18,MATCH(Summary!BI$1,'RA8-Water Management Structures'!$A$9:$BN$9,1),FALSE),0)+IFERROR(VLOOKUP($B17,'RA9-Codisposal Upper'!$A$11:$BN$18,MATCH(Summary!BI$1,'RA9-Codisposal Upper'!$A$9:$BN$9,1),FALSE),0)+IFERROR(VLOOKUP($B17,'RA10-Codisposal Slopes'!$A$11:$BN$18,MATCH(Summary!BI$1,'RA10-Codisposal Slopes'!$A$9:$BN$9,1),FALSE),0)+IFERROR(VLOOKUP($B17,'IA1-Final Void inc Ramps'!$A$11:$BN$18,MATCH(Summary!BI$1,'IA1-Final Void inc Ramps'!$A$9:$BN$9,1),FALSE),0)</f>
        <v>569.90300000000002</v>
      </c>
      <c r="BJ17" s="47">
        <f>IFERROR(VLOOKUP($B17,'RA1- Elevated Dumps Upper'!$A$11:$BN$18,MATCH(Summary!BJ$1,'RA1- Elevated Dumps Upper'!$A$9:$BN$9,1),FALSE),0)+IFERROR(VLOOKUP($B17,'RA2-Elevated Dumps Slopes'!$A$11:$BN$18,MATCH(Summary!BJ$1,'RA2-Elevated Dumps Slopes'!$A$9:$BN$9,1),FALSE),0)+IFERROR(VLOOKUP($B17,'RA3-Backfilled Pits'!$A$11:$BN$18,MATCH(Summary!BJ$1,'RA3-Backfilled Pits'!$A$9:$BN$9,1),FALSE),0)+IFERROR(VLOOKUP($B17,'RA4-Tracks_Roads'!$A$11:$BN$18,MATCH(Summary!BJ$1,'RA4-Tracks_Roads'!$A$9:$BN$9,1),FALSE),0)+IFERROR(VLOOKUP($B17,'RA5-ROM'!$A$11:$BN$18,MATCH(Summary!BJ$1,'RA5-ROM'!$A$9:$BN$9,1),FALSE),0)+IFERROR(VLOOKUP($B17,'RA6-CHPP'!$A$11:$BN$18,MATCH(Summary!BJ$1,'RA6-CHPP'!$A$9:$BN$9,1),FALSE),0)+IFERROR(VLOOKUP($B17,'RA7-Mine Infrastructure Area'!$A$11:$BN$18,MATCH(Summary!BJ$1,'RA7-Mine Infrastructure Area'!$A$9:$BN$9,1),FALSE),0)+IFERROR(VLOOKUP($B17,'RA8-Water Management Structures'!$A$11:$BN$18,MATCH(Summary!BJ$1,'RA8-Water Management Structures'!$A$9:$BN$9,1),FALSE),0)+IFERROR(VLOOKUP($B17,'RA9-Codisposal Upper'!$A$11:$BN$18,MATCH(Summary!BJ$1,'RA9-Codisposal Upper'!$A$9:$BN$9,1),FALSE),0)+IFERROR(VLOOKUP($B17,'RA10-Codisposal Slopes'!$A$11:$BN$18,MATCH(Summary!BJ$1,'RA10-Codisposal Slopes'!$A$9:$BN$9,1),FALSE),0)+IFERROR(VLOOKUP($B17,'IA1-Final Void inc Ramps'!$A$11:$BN$18,MATCH(Summary!BJ$1,'IA1-Final Void inc Ramps'!$A$9:$BN$9,1),FALSE),0)</f>
        <v>569.90300000000002</v>
      </c>
      <c r="BK17" s="47">
        <f>IFERROR(VLOOKUP($B17,'RA1- Elevated Dumps Upper'!$A$11:$BN$18,MATCH(Summary!BK$1,'RA1- Elevated Dumps Upper'!$A$9:$BN$9,1),FALSE),0)+IFERROR(VLOOKUP($B17,'RA2-Elevated Dumps Slopes'!$A$11:$BN$18,MATCH(Summary!BK$1,'RA2-Elevated Dumps Slopes'!$A$9:$BN$9,1),FALSE),0)+IFERROR(VLOOKUP($B17,'RA3-Backfilled Pits'!$A$11:$BN$18,MATCH(Summary!BK$1,'RA3-Backfilled Pits'!$A$9:$BN$9,1),FALSE),0)+IFERROR(VLOOKUP($B17,'RA4-Tracks_Roads'!$A$11:$BN$18,MATCH(Summary!BK$1,'RA4-Tracks_Roads'!$A$9:$BN$9,1),FALSE),0)+IFERROR(VLOOKUP($B17,'RA5-ROM'!$A$11:$BN$18,MATCH(Summary!BK$1,'RA5-ROM'!$A$9:$BN$9,1),FALSE),0)+IFERROR(VLOOKUP($B17,'RA6-CHPP'!$A$11:$BN$18,MATCH(Summary!BK$1,'RA6-CHPP'!$A$9:$BN$9,1),FALSE),0)+IFERROR(VLOOKUP($B17,'RA7-Mine Infrastructure Area'!$A$11:$BN$18,MATCH(Summary!BK$1,'RA7-Mine Infrastructure Area'!$A$9:$BN$9,1),FALSE),0)+IFERROR(VLOOKUP($B17,'RA8-Water Management Structures'!$A$11:$BN$18,MATCH(Summary!BK$1,'RA8-Water Management Structures'!$A$9:$BN$9,1),FALSE),0)+IFERROR(VLOOKUP($B17,'RA9-Codisposal Upper'!$A$11:$BN$18,MATCH(Summary!BK$1,'RA9-Codisposal Upper'!$A$9:$BN$9,1),FALSE),0)+IFERROR(VLOOKUP($B17,'RA10-Codisposal Slopes'!$A$11:$BN$18,MATCH(Summary!BK$1,'RA10-Codisposal Slopes'!$A$9:$BN$9,1),FALSE),0)+IFERROR(VLOOKUP($B17,'IA1-Final Void inc Ramps'!$A$11:$BN$18,MATCH(Summary!BK$1,'IA1-Final Void inc Ramps'!$A$9:$BN$9,1),FALSE),0)</f>
        <v>569.90300000000002</v>
      </c>
      <c r="BL17" s="47">
        <f>IFERROR(VLOOKUP($B17,'RA1- Elevated Dumps Upper'!$A$11:$BN$18,MATCH(Summary!BL$1,'RA1- Elevated Dumps Upper'!$A$9:$BN$9,1),FALSE),0)+IFERROR(VLOOKUP($B17,'RA2-Elevated Dumps Slopes'!$A$11:$BN$18,MATCH(Summary!BL$1,'RA2-Elevated Dumps Slopes'!$A$9:$BN$9,1),FALSE),0)+IFERROR(VLOOKUP($B17,'RA3-Backfilled Pits'!$A$11:$BN$18,MATCH(Summary!BL$1,'RA3-Backfilled Pits'!$A$9:$BN$9,1),FALSE),0)+IFERROR(VLOOKUP($B17,'RA4-Tracks_Roads'!$A$11:$BN$18,MATCH(Summary!BL$1,'RA4-Tracks_Roads'!$A$9:$BN$9,1),FALSE),0)+IFERROR(VLOOKUP($B17,'RA5-ROM'!$A$11:$BN$18,MATCH(Summary!BL$1,'RA5-ROM'!$A$9:$BN$9,1),FALSE),0)+IFERROR(VLOOKUP($B17,'RA6-CHPP'!$A$11:$BN$18,MATCH(Summary!BL$1,'RA6-CHPP'!$A$9:$BN$9,1),FALSE),0)+IFERROR(VLOOKUP($B17,'RA7-Mine Infrastructure Area'!$A$11:$BN$18,MATCH(Summary!BL$1,'RA7-Mine Infrastructure Area'!$A$9:$BN$9,1),FALSE),0)+IFERROR(VLOOKUP($B17,'RA8-Water Management Structures'!$A$11:$BN$18,MATCH(Summary!BL$1,'RA8-Water Management Structures'!$A$9:$BN$9,1),FALSE),0)+IFERROR(VLOOKUP($B17,'RA9-Codisposal Upper'!$A$11:$BN$18,MATCH(Summary!BL$1,'RA9-Codisposal Upper'!$A$9:$BN$9,1),FALSE),0)+IFERROR(VLOOKUP($B17,'RA10-Codisposal Slopes'!$A$11:$BN$18,MATCH(Summary!BL$1,'RA10-Codisposal Slopes'!$A$9:$BN$9,1),FALSE),0)+IFERROR(VLOOKUP($B17,'IA1-Final Void inc Ramps'!$A$11:$BN$18,MATCH(Summary!BL$1,'IA1-Final Void inc Ramps'!$A$9:$BN$9,1),FALSE),0)</f>
        <v>569.90300000000002</v>
      </c>
      <c r="BM17" s="47">
        <f>IFERROR(VLOOKUP($B17,'RA1- Elevated Dumps Upper'!$A$11:$BN$18,MATCH(Summary!BM$1,'RA1- Elevated Dumps Upper'!$A$9:$BN$9,1),FALSE),0)+IFERROR(VLOOKUP($B17,'RA2-Elevated Dumps Slopes'!$A$11:$BN$18,MATCH(Summary!BM$1,'RA2-Elevated Dumps Slopes'!$A$9:$BN$9,1),FALSE),0)+IFERROR(VLOOKUP($B17,'RA3-Backfilled Pits'!$A$11:$BN$18,MATCH(Summary!BM$1,'RA3-Backfilled Pits'!$A$9:$BN$9,1),FALSE),0)+IFERROR(VLOOKUP($B17,'RA4-Tracks_Roads'!$A$11:$BN$18,MATCH(Summary!BM$1,'RA4-Tracks_Roads'!$A$9:$BN$9,1),FALSE),0)+IFERROR(VLOOKUP($B17,'RA5-ROM'!$A$11:$BN$18,MATCH(Summary!BM$1,'RA5-ROM'!$A$9:$BN$9,1),FALSE),0)+IFERROR(VLOOKUP($B17,'RA6-CHPP'!$A$11:$BN$18,MATCH(Summary!BM$1,'RA6-CHPP'!$A$9:$BN$9,1),FALSE),0)+IFERROR(VLOOKUP($B17,'RA7-Mine Infrastructure Area'!$A$11:$BN$18,MATCH(Summary!BM$1,'RA7-Mine Infrastructure Area'!$A$9:$BN$9,1),FALSE),0)+IFERROR(VLOOKUP($B17,'RA8-Water Management Structures'!$A$11:$BN$18,MATCH(Summary!BM$1,'RA8-Water Management Structures'!$A$9:$BN$9,1),FALSE),0)+IFERROR(VLOOKUP($B17,'RA9-Codisposal Upper'!$A$11:$BN$18,MATCH(Summary!BM$1,'RA9-Codisposal Upper'!$A$9:$BN$9,1),FALSE),0)+IFERROR(VLOOKUP($B17,'RA10-Codisposal Slopes'!$A$11:$BN$18,MATCH(Summary!BM$1,'RA10-Codisposal Slopes'!$A$9:$BN$9,1),FALSE),0)+IFERROR(VLOOKUP($B17,'IA1-Final Void inc Ramps'!$A$11:$BN$18,MATCH(Summary!BM$1,'IA1-Final Void inc Ramps'!$A$9:$BN$9,1),FALSE),0)</f>
        <v>569.90300000000002</v>
      </c>
      <c r="BN17" s="47">
        <f>IFERROR(VLOOKUP($B17,'RA1- Elevated Dumps Upper'!$A$11:$BN$18,MATCH(Summary!BN$1,'RA1- Elevated Dumps Upper'!$A$9:$BN$9,1),FALSE),0)+IFERROR(VLOOKUP($B17,'RA2-Elevated Dumps Slopes'!$A$11:$BN$18,MATCH(Summary!BN$1,'RA2-Elevated Dumps Slopes'!$A$9:$BN$9,1),FALSE),0)+IFERROR(VLOOKUP($B17,'RA3-Backfilled Pits'!$A$11:$BN$18,MATCH(Summary!BN$1,'RA3-Backfilled Pits'!$A$9:$BN$9,1),FALSE),0)+IFERROR(VLOOKUP($B17,'RA4-Tracks_Roads'!$A$11:$BN$18,MATCH(Summary!BN$1,'RA4-Tracks_Roads'!$A$9:$BN$9,1),FALSE),0)+IFERROR(VLOOKUP($B17,'RA5-ROM'!$A$11:$BN$18,MATCH(Summary!BN$1,'RA5-ROM'!$A$9:$BN$9,1),FALSE),0)+IFERROR(VLOOKUP($B17,'RA6-CHPP'!$A$11:$BN$18,MATCH(Summary!BN$1,'RA6-CHPP'!$A$9:$BN$9,1),FALSE),0)+IFERROR(VLOOKUP($B17,'RA7-Mine Infrastructure Area'!$A$11:$BN$18,MATCH(Summary!BN$1,'RA7-Mine Infrastructure Area'!$A$9:$BN$9,1),FALSE),0)+IFERROR(VLOOKUP($B17,'RA8-Water Management Structures'!$A$11:$BN$18,MATCH(Summary!BN$1,'RA8-Water Management Structures'!$A$9:$BN$9,1),FALSE),0)+IFERROR(VLOOKUP($B17,'RA9-Codisposal Upper'!$A$11:$BN$18,MATCH(Summary!BN$1,'RA9-Codisposal Upper'!$A$9:$BN$9,1),FALSE),0)+IFERROR(VLOOKUP($B17,'RA10-Codisposal Slopes'!$A$11:$BN$18,MATCH(Summary!BN$1,'RA10-Codisposal Slopes'!$A$9:$BN$9,1),FALSE),0)+IFERROR(VLOOKUP($B17,'IA1-Final Void inc Ramps'!$A$11:$BN$18,MATCH(Summary!BN$1,'IA1-Final Void inc Ramps'!$A$9:$BN$9,1),FALSE),0)</f>
        <v>569.90300000000002</v>
      </c>
    </row>
    <row r="18" spans="1:66" x14ac:dyDescent="0.35">
      <c r="B18" t="s">
        <v>16</v>
      </c>
      <c r="D18" s="47">
        <f>IFERROR(VLOOKUP($B18,'RA1- Elevated Dumps Upper'!$A$11:$BN$18,MATCH(Summary!D$1,'RA1- Elevated Dumps Upper'!$A$9:$BN$9,1),FALSE),0)+IFERROR(VLOOKUP($B18,'RA2-Elevated Dumps Slopes'!$A$11:$BN$18,MATCH(Summary!D$1,'RA2-Elevated Dumps Slopes'!$A$9:$BN$9,1),FALSE),0)+IFERROR(VLOOKUP($B18,'RA3-Backfilled Pits'!$A$11:$BN$18,MATCH(Summary!D$1,'RA3-Backfilled Pits'!$A$9:$BN$9,1),FALSE),0)+IFERROR(VLOOKUP($B18,'RA4-Tracks_Roads'!$A$11:$BN$18,MATCH(Summary!D$1,'RA4-Tracks_Roads'!$A$9:$BN$9,1),FALSE),0)+IFERROR(VLOOKUP($B18,'RA5-ROM'!$A$11:$BN$18,MATCH(Summary!D$1,'RA5-ROM'!$A$9:$BN$9,1),FALSE),0)+IFERROR(VLOOKUP($B18,'RA6-CHPP'!$A$11:$BN$18,MATCH(Summary!D$1,'RA6-CHPP'!$A$9:$BN$9,1),FALSE),0)+IFERROR(VLOOKUP($B18,'RA7-Mine Infrastructure Area'!$A$11:$BN$18,MATCH(Summary!D$1,'RA7-Mine Infrastructure Area'!$A$9:$BN$9,1),FALSE),0)+IFERROR(VLOOKUP($B18,'RA8-Water Management Structures'!$A$11:$BN$18,MATCH(Summary!D$1,'RA8-Water Management Structures'!$A$9:$BN$9,1),FALSE),0)+IFERROR(VLOOKUP($B18,'RA9-Codisposal Upper'!$A$11:$BN$18,MATCH(Summary!D$1,'RA9-Codisposal Upper'!$A$9:$BN$9,1),FALSE),0)+IFERROR(VLOOKUP($B18,'RA10-Codisposal Slopes'!$A$11:$BN$18,MATCH(Summary!D$1,'RA10-Codisposal Slopes'!$A$9:$BN$9,1),FALSE),0)+IFERROR(VLOOKUP($B18,'IA1-Final Void inc Ramps'!$A$11:$BN$18,MATCH(Summary!D$1,'IA1-Final Void inc Ramps'!$A$9:$BN$9,1),FALSE),0)</f>
        <v>0</v>
      </c>
      <c r="E18" s="47">
        <f>IFERROR(VLOOKUP($B18,'RA1- Elevated Dumps Upper'!$A$11:$BN$18,MATCH(Summary!E$1,'RA1- Elevated Dumps Upper'!$A$9:$BN$9,1),FALSE),0)+IFERROR(VLOOKUP($B18,'RA2-Elevated Dumps Slopes'!$A$11:$BN$18,MATCH(Summary!E$1,'RA2-Elevated Dumps Slopes'!$A$9:$BN$9,1),FALSE),0)+IFERROR(VLOOKUP($B18,'RA3-Backfilled Pits'!$A$11:$BN$18,MATCH(Summary!E$1,'RA3-Backfilled Pits'!$A$9:$BN$9,1),FALSE),0)+IFERROR(VLOOKUP($B18,'RA4-Tracks_Roads'!$A$11:$BN$18,MATCH(Summary!E$1,'RA4-Tracks_Roads'!$A$9:$BN$9,1),FALSE),0)+IFERROR(VLOOKUP($B18,'RA5-ROM'!$A$11:$BN$18,MATCH(Summary!E$1,'RA5-ROM'!$A$9:$BN$9,1),FALSE),0)+IFERROR(VLOOKUP($B18,'RA6-CHPP'!$A$11:$BN$18,MATCH(Summary!E$1,'RA6-CHPP'!$A$9:$BN$9,1),FALSE),0)+IFERROR(VLOOKUP($B18,'RA7-Mine Infrastructure Area'!$A$11:$BN$18,MATCH(Summary!E$1,'RA7-Mine Infrastructure Area'!$A$9:$BN$9,1),FALSE),0)+IFERROR(VLOOKUP($B18,'RA8-Water Management Structures'!$A$11:$BN$18,MATCH(Summary!E$1,'RA8-Water Management Structures'!$A$9:$BN$9,1),FALSE),0)+IFERROR(VLOOKUP($B18,'RA9-Codisposal Upper'!$A$11:$BN$18,MATCH(Summary!E$1,'RA9-Codisposal Upper'!$A$9:$BN$9,1),FALSE),0)+IFERROR(VLOOKUP($B18,'RA10-Codisposal Slopes'!$A$11:$BN$18,MATCH(Summary!E$1,'RA10-Codisposal Slopes'!$A$9:$BN$9,1),FALSE),0)+IFERROR(VLOOKUP($B18,'IA1-Final Void inc Ramps'!$A$11:$BN$18,MATCH(Summary!E$1,'IA1-Final Void inc Ramps'!$A$9:$BN$9,1),FALSE),0)</f>
        <v>0</v>
      </c>
      <c r="F18" s="47">
        <f>IFERROR(VLOOKUP($B18,'RA1- Elevated Dumps Upper'!$A$11:$BN$18,MATCH(Summary!F$1,'RA1- Elevated Dumps Upper'!$A$9:$BN$9,1),FALSE),0)+IFERROR(VLOOKUP($B18,'RA2-Elevated Dumps Slopes'!$A$11:$BN$18,MATCH(Summary!F$1,'RA2-Elevated Dumps Slopes'!$A$9:$BN$9,1),FALSE),0)+IFERROR(VLOOKUP($B18,'RA3-Backfilled Pits'!$A$11:$BN$18,MATCH(Summary!F$1,'RA3-Backfilled Pits'!$A$9:$BN$9,1),FALSE),0)+IFERROR(VLOOKUP($B18,'RA4-Tracks_Roads'!$A$11:$BN$18,MATCH(Summary!F$1,'RA4-Tracks_Roads'!$A$9:$BN$9,1),FALSE),0)+IFERROR(VLOOKUP($B18,'RA5-ROM'!$A$11:$BN$18,MATCH(Summary!F$1,'RA5-ROM'!$A$9:$BN$9,1),FALSE),0)+IFERROR(VLOOKUP($B18,'RA6-CHPP'!$A$11:$BN$18,MATCH(Summary!F$1,'RA6-CHPP'!$A$9:$BN$9,1),FALSE),0)+IFERROR(VLOOKUP($B18,'RA7-Mine Infrastructure Area'!$A$11:$BN$18,MATCH(Summary!F$1,'RA7-Mine Infrastructure Area'!$A$9:$BN$9,1),FALSE),0)+IFERROR(VLOOKUP($B18,'RA8-Water Management Structures'!$A$11:$BN$18,MATCH(Summary!F$1,'RA8-Water Management Structures'!$A$9:$BN$9,1),FALSE),0)+IFERROR(VLOOKUP($B18,'RA9-Codisposal Upper'!$A$11:$BN$18,MATCH(Summary!F$1,'RA9-Codisposal Upper'!$A$9:$BN$9,1),FALSE),0)+IFERROR(VLOOKUP($B18,'RA10-Codisposal Slopes'!$A$11:$BN$18,MATCH(Summary!F$1,'RA10-Codisposal Slopes'!$A$9:$BN$9,1),FALSE),0)+IFERROR(VLOOKUP($B18,'IA1-Final Void inc Ramps'!$A$11:$BN$18,MATCH(Summary!F$1,'IA1-Final Void inc Ramps'!$A$9:$BN$9,1),FALSE),0)</f>
        <v>0</v>
      </c>
      <c r="G18" s="47">
        <f>IFERROR(VLOOKUP($B18,'RA1- Elevated Dumps Upper'!$A$11:$BN$18,MATCH(Summary!G$1,'RA1- Elevated Dumps Upper'!$A$9:$BN$9,1),FALSE),0)+IFERROR(VLOOKUP($B18,'RA2-Elevated Dumps Slopes'!$A$11:$BN$18,MATCH(Summary!G$1,'RA2-Elevated Dumps Slopes'!$A$9:$BN$9,1),FALSE),0)+IFERROR(VLOOKUP($B18,'RA3-Backfilled Pits'!$A$11:$BN$18,MATCH(Summary!G$1,'RA3-Backfilled Pits'!$A$9:$BN$9,1),FALSE),0)+IFERROR(VLOOKUP($B18,'RA4-Tracks_Roads'!$A$11:$BN$18,MATCH(Summary!G$1,'RA4-Tracks_Roads'!$A$9:$BN$9,1),FALSE),0)+IFERROR(VLOOKUP($B18,'RA5-ROM'!$A$11:$BN$18,MATCH(Summary!G$1,'RA5-ROM'!$A$9:$BN$9,1),FALSE),0)+IFERROR(VLOOKUP($B18,'RA6-CHPP'!$A$11:$BN$18,MATCH(Summary!G$1,'RA6-CHPP'!$A$9:$BN$9,1),FALSE),0)+IFERROR(VLOOKUP($B18,'RA7-Mine Infrastructure Area'!$A$11:$BN$18,MATCH(Summary!G$1,'RA7-Mine Infrastructure Area'!$A$9:$BN$9,1),FALSE),0)+IFERROR(VLOOKUP($B18,'RA8-Water Management Structures'!$A$11:$BN$18,MATCH(Summary!G$1,'RA8-Water Management Structures'!$A$9:$BN$9,1),FALSE),0)+IFERROR(VLOOKUP($B18,'RA9-Codisposal Upper'!$A$11:$BN$18,MATCH(Summary!G$1,'RA9-Codisposal Upper'!$A$9:$BN$9,1),FALSE),0)+IFERROR(VLOOKUP($B18,'RA10-Codisposal Slopes'!$A$11:$BN$18,MATCH(Summary!G$1,'RA10-Codisposal Slopes'!$A$9:$BN$9,1),FALSE),0)+IFERROR(VLOOKUP($B18,'IA1-Final Void inc Ramps'!$A$11:$BN$18,MATCH(Summary!G$1,'IA1-Final Void inc Ramps'!$A$9:$BN$9,1),FALSE),0)</f>
        <v>0</v>
      </c>
      <c r="H18" s="47">
        <f>IFERROR(VLOOKUP($B18,'RA1- Elevated Dumps Upper'!$A$11:$BN$18,MATCH(Summary!H$1,'RA1- Elevated Dumps Upper'!$A$9:$BN$9,1),FALSE),0)+IFERROR(VLOOKUP($B18,'RA2-Elevated Dumps Slopes'!$A$11:$BN$18,MATCH(Summary!H$1,'RA2-Elevated Dumps Slopes'!$A$9:$BN$9,1),FALSE),0)+IFERROR(VLOOKUP($B18,'RA3-Backfilled Pits'!$A$11:$BN$18,MATCH(Summary!H$1,'RA3-Backfilled Pits'!$A$9:$BN$9,1),FALSE),0)+IFERROR(VLOOKUP($B18,'RA4-Tracks_Roads'!$A$11:$BN$18,MATCH(Summary!H$1,'RA4-Tracks_Roads'!$A$9:$BN$9,1),FALSE),0)+IFERROR(VLOOKUP($B18,'RA5-ROM'!$A$11:$BN$18,MATCH(Summary!H$1,'RA5-ROM'!$A$9:$BN$9,1),FALSE),0)+IFERROR(VLOOKUP($B18,'RA6-CHPP'!$A$11:$BN$18,MATCH(Summary!H$1,'RA6-CHPP'!$A$9:$BN$9,1),FALSE),0)+IFERROR(VLOOKUP($B18,'RA7-Mine Infrastructure Area'!$A$11:$BN$18,MATCH(Summary!H$1,'RA7-Mine Infrastructure Area'!$A$9:$BN$9,1),FALSE),0)+IFERROR(VLOOKUP($B18,'RA8-Water Management Structures'!$A$11:$BN$18,MATCH(Summary!H$1,'RA8-Water Management Structures'!$A$9:$BN$9,1),FALSE),0)+IFERROR(VLOOKUP($B18,'RA9-Codisposal Upper'!$A$11:$BN$18,MATCH(Summary!H$1,'RA9-Codisposal Upper'!$A$9:$BN$9,1),FALSE),0)+IFERROR(VLOOKUP($B18,'RA10-Codisposal Slopes'!$A$11:$BN$18,MATCH(Summary!H$1,'RA10-Codisposal Slopes'!$A$9:$BN$9,1),FALSE),0)+IFERROR(VLOOKUP($B18,'IA1-Final Void inc Ramps'!$A$11:$BN$18,MATCH(Summary!H$1,'IA1-Final Void inc Ramps'!$A$9:$BN$9,1),FALSE),0)</f>
        <v>0</v>
      </c>
      <c r="I18" s="47">
        <f>IFERROR(VLOOKUP($B18,'RA1- Elevated Dumps Upper'!$A$11:$BN$18,MATCH(Summary!I$1,'RA1- Elevated Dumps Upper'!$A$9:$BN$9,1),FALSE),0)+IFERROR(VLOOKUP($B18,'RA2-Elevated Dumps Slopes'!$A$11:$BN$18,MATCH(Summary!I$1,'RA2-Elevated Dumps Slopes'!$A$9:$BN$9,1),FALSE),0)+IFERROR(VLOOKUP($B18,'RA3-Backfilled Pits'!$A$11:$BN$18,MATCH(Summary!I$1,'RA3-Backfilled Pits'!$A$9:$BN$9,1),FALSE),0)+IFERROR(VLOOKUP($B18,'RA4-Tracks_Roads'!$A$11:$BN$18,MATCH(Summary!I$1,'RA4-Tracks_Roads'!$A$9:$BN$9,1),FALSE),0)+IFERROR(VLOOKUP($B18,'RA5-ROM'!$A$11:$BN$18,MATCH(Summary!I$1,'RA5-ROM'!$A$9:$BN$9,1),FALSE),0)+IFERROR(VLOOKUP($B18,'RA6-CHPP'!$A$11:$BN$18,MATCH(Summary!I$1,'RA6-CHPP'!$A$9:$BN$9,1),FALSE),0)+IFERROR(VLOOKUP($B18,'RA7-Mine Infrastructure Area'!$A$11:$BN$18,MATCH(Summary!I$1,'RA7-Mine Infrastructure Area'!$A$9:$BN$9,1),FALSE),0)+IFERROR(VLOOKUP($B18,'RA8-Water Management Structures'!$A$11:$BN$18,MATCH(Summary!I$1,'RA8-Water Management Structures'!$A$9:$BN$9,1),FALSE),0)+IFERROR(VLOOKUP($B18,'RA9-Codisposal Upper'!$A$11:$BN$18,MATCH(Summary!I$1,'RA9-Codisposal Upper'!$A$9:$BN$9,1),FALSE),0)+IFERROR(VLOOKUP($B18,'RA10-Codisposal Slopes'!$A$11:$BN$18,MATCH(Summary!I$1,'RA10-Codisposal Slopes'!$A$9:$BN$9,1),FALSE),0)+IFERROR(VLOOKUP($B18,'IA1-Final Void inc Ramps'!$A$11:$BN$18,MATCH(Summary!I$1,'IA1-Final Void inc Ramps'!$A$9:$BN$9,1),FALSE),0)</f>
        <v>0</v>
      </c>
      <c r="J18" s="47">
        <f>IFERROR(VLOOKUP($B18,'RA1- Elevated Dumps Upper'!$A$11:$BN$18,MATCH(Summary!J$1,'RA1- Elevated Dumps Upper'!$A$9:$BN$9,1),FALSE),0)+IFERROR(VLOOKUP($B18,'RA2-Elevated Dumps Slopes'!$A$11:$BN$18,MATCH(Summary!J$1,'RA2-Elevated Dumps Slopes'!$A$9:$BN$9,1),FALSE),0)+IFERROR(VLOOKUP($B18,'RA3-Backfilled Pits'!$A$11:$BN$18,MATCH(Summary!J$1,'RA3-Backfilled Pits'!$A$9:$BN$9,1),FALSE),0)+IFERROR(VLOOKUP($B18,'RA4-Tracks_Roads'!$A$11:$BN$18,MATCH(Summary!J$1,'RA4-Tracks_Roads'!$A$9:$BN$9,1),FALSE),0)+IFERROR(VLOOKUP($B18,'RA5-ROM'!$A$11:$BN$18,MATCH(Summary!J$1,'RA5-ROM'!$A$9:$BN$9,1),FALSE),0)+IFERROR(VLOOKUP($B18,'RA6-CHPP'!$A$11:$BN$18,MATCH(Summary!J$1,'RA6-CHPP'!$A$9:$BN$9,1),FALSE),0)+IFERROR(VLOOKUP($B18,'RA7-Mine Infrastructure Area'!$A$11:$BN$18,MATCH(Summary!J$1,'RA7-Mine Infrastructure Area'!$A$9:$BN$9,1),FALSE),0)+IFERROR(VLOOKUP($B18,'RA8-Water Management Structures'!$A$11:$BN$18,MATCH(Summary!J$1,'RA8-Water Management Structures'!$A$9:$BN$9,1),FALSE),0)+IFERROR(VLOOKUP($B18,'RA9-Codisposal Upper'!$A$11:$BN$18,MATCH(Summary!J$1,'RA9-Codisposal Upper'!$A$9:$BN$9,1),FALSE),0)+IFERROR(VLOOKUP($B18,'RA10-Codisposal Slopes'!$A$11:$BN$18,MATCH(Summary!J$1,'RA10-Codisposal Slopes'!$A$9:$BN$9,1),FALSE),0)+IFERROR(VLOOKUP($B18,'IA1-Final Void inc Ramps'!$A$11:$BN$18,MATCH(Summary!J$1,'IA1-Final Void inc Ramps'!$A$9:$BN$9,1),FALSE),0)</f>
        <v>0</v>
      </c>
      <c r="K18" s="47">
        <f>IFERROR(VLOOKUP($B18,'RA1- Elevated Dumps Upper'!$A$11:$BN$18,MATCH(Summary!K$1,'RA1- Elevated Dumps Upper'!$A$9:$BN$9,1),FALSE),0)+IFERROR(VLOOKUP($B18,'RA2-Elevated Dumps Slopes'!$A$11:$BN$18,MATCH(Summary!K$1,'RA2-Elevated Dumps Slopes'!$A$9:$BN$9,1),FALSE),0)+IFERROR(VLOOKUP($B18,'RA3-Backfilled Pits'!$A$11:$BN$18,MATCH(Summary!K$1,'RA3-Backfilled Pits'!$A$9:$BN$9,1),FALSE),0)+IFERROR(VLOOKUP($B18,'RA4-Tracks_Roads'!$A$11:$BN$18,MATCH(Summary!K$1,'RA4-Tracks_Roads'!$A$9:$BN$9,1),FALSE),0)+IFERROR(VLOOKUP($B18,'RA5-ROM'!$A$11:$BN$18,MATCH(Summary!K$1,'RA5-ROM'!$A$9:$BN$9,1),FALSE),0)+IFERROR(VLOOKUP($B18,'RA6-CHPP'!$A$11:$BN$18,MATCH(Summary!K$1,'RA6-CHPP'!$A$9:$BN$9,1),FALSE),0)+IFERROR(VLOOKUP($B18,'RA7-Mine Infrastructure Area'!$A$11:$BN$18,MATCH(Summary!K$1,'RA7-Mine Infrastructure Area'!$A$9:$BN$9,1),FALSE),0)+IFERROR(VLOOKUP($B18,'RA8-Water Management Structures'!$A$11:$BN$18,MATCH(Summary!K$1,'RA8-Water Management Structures'!$A$9:$BN$9,1),FALSE),0)+IFERROR(VLOOKUP($B18,'RA9-Codisposal Upper'!$A$11:$BN$18,MATCH(Summary!K$1,'RA9-Codisposal Upper'!$A$9:$BN$9,1),FALSE),0)+IFERROR(VLOOKUP($B18,'RA10-Codisposal Slopes'!$A$11:$BN$18,MATCH(Summary!K$1,'RA10-Codisposal Slopes'!$A$9:$BN$9,1),FALSE),0)+IFERROR(VLOOKUP($B18,'IA1-Final Void inc Ramps'!$A$11:$BN$18,MATCH(Summary!K$1,'IA1-Final Void inc Ramps'!$A$9:$BN$9,1),FALSE),0)</f>
        <v>33.869</v>
      </c>
      <c r="L18" s="47">
        <f>IFERROR(VLOOKUP($B18,'RA1- Elevated Dumps Upper'!$A$11:$BN$18,MATCH(Summary!L$1,'RA1- Elevated Dumps Upper'!$A$9:$BN$9,1),FALSE),0)+IFERROR(VLOOKUP($B18,'RA2-Elevated Dumps Slopes'!$A$11:$BN$18,MATCH(Summary!L$1,'RA2-Elevated Dumps Slopes'!$A$9:$BN$9,1),FALSE),0)+IFERROR(VLOOKUP($B18,'RA3-Backfilled Pits'!$A$11:$BN$18,MATCH(Summary!L$1,'RA3-Backfilled Pits'!$A$9:$BN$9,1),FALSE),0)+IFERROR(VLOOKUP($B18,'RA4-Tracks_Roads'!$A$11:$BN$18,MATCH(Summary!L$1,'RA4-Tracks_Roads'!$A$9:$BN$9,1),FALSE),0)+IFERROR(VLOOKUP($B18,'RA5-ROM'!$A$11:$BN$18,MATCH(Summary!L$1,'RA5-ROM'!$A$9:$BN$9,1),FALSE),0)+IFERROR(VLOOKUP($B18,'RA6-CHPP'!$A$11:$BN$18,MATCH(Summary!L$1,'RA6-CHPP'!$A$9:$BN$9,1),FALSE),0)+IFERROR(VLOOKUP($B18,'RA7-Mine Infrastructure Area'!$A$11:$BN$18,MATCH(Summary!L$1,'RA7-Mine Infrastructure Area'!$A$9:$BN$9,1),FALSE),0)+IFERROR(VLOOKUP($B18,'RA8-Water Management Structures'!$A$11:$BN$18,MATCH(Summary!L$1,'RA8-Water Management Structures'!$A$9:$BN$9,1),FALSE),0)+IFERROR(VLOOKUP($B18,'RA9-Codisposal Upper'!$A$11:$BN$18,MATCH(Summary!L$1,'RA9-Codisposal Upper'!$A$9:$BN$9,1),FALSE),0)+IFERROR(VLOOKUP($B18,'RA10-Codisposal Slopes'!$A$11:$BN$18,MATCH(Summary!L$1,'RA10-Codisposal Slopes'!$A$9:$BN$9,1),FALSE),0)+IFERROR(VLOOKUP($B18,'IA1-Final Void inc Ramps'!$A$11:$BN$18,MATCH(Summary!L$1,'IA1-Final Void inc Ramps'!$A$9:$BN$9,1),FALSE),0)</f>
        <v>78.697000000000003</v>
      </c>
      <c r="M18" s="47">
        <f>IFERROR(VLOOKUP($B18,'RA1- Elevated Dumps Upper'!$A$11:$BN$18,MATCH(Summary!M$1,'RA1- Elevated Dumps Upper'!$A$9:$BN$9,1),FALSE),0)+IFERROR(VLOOKUP($B18,'RA2-Elevated Dumps Slopes'!$A$11:$BN$18,MATCH(Summary!M$1,'RA2-Elevated Dumps Slopes'!$A$9:$BN$9,1),FALSE),0)+IFERROR(VLOOKUP($B18,'RA3-Backfilled Pits'!$A$11:$BN$18,MATCH(Summary!M$1,'RA3-Backfilled Pits'!$A$9:$BN$9,1),FALSE),0)+IFERROR(VLOOKUP($B18,'RA4-Tracks_Roads'!$A$11:$BN$18,MATCH(Summary!M$1,'RA4-Tracks_Roads'!$A$9:$BN$9,1),FALSE),0)+IFERROR(VLOOKUP($B18,'RA5-ROM'!$A$11:$BN$18,MATCH(Summary!M$1,'RA5-ROM'!$A$9:$BN$9,1),FALSE),0)+IFERROR(VLOOKUP($B18,'RA6-CHPP'!$A$11:$BN$18,MATCH(Summary!M$1,'RA6-CHPP'!$A$9:$BN$9,1),FALSE),0)+IFERROR(VLOOKUP($B18,'RA7-Mine Infrastructure Area'!$A$11:$BN$18,MATCH(Summary!M$1,'RA7-Mine Infrastructure Area'!$A$9:$BN$9,1),FALSE),0)+IFERROR(VLOOKUP($B18,'RA8-Water Management Structures'!$A$11:$BN$18,MATCH(Summary!M$1,'RA8-Water Management Structures'!$A$9:$BN$9,1),FALSE),0)+IFERROR(VLOOKUP($B18,'RA9-Codisposal Upper'!$A$11:$BN$18,MATCH(Summary!M$1,'RA9-Codisposal Upper'!$A$9:$BN$9,1),FALSE),0)+IFERROR(VLOOKUP($B18,'RA10-Codisposal Slopes'!$A$11:$BN$18,MATCH(Summary!M$1,'RA10-Codisposal Slopes'!$A$9:$BN$9,1),FALSE),0)+IFERROR(VLOOKUP($B18,'IA1-Final Void inc Ramps'!$A$11:$BN$18,MATCH(Summary!M$1,'IA1-Final Void inc Ramps'!$A$9:$BN$9,1),FALSE),0)</f>
        <v>129.40700000000001</v>
      </c>
      <c r="N18" s="47">
        <f>IFERROR(VLOOKUP($B18,'RA1- Elevated Dumps Upper'!$A$11:$BN$18,MATCH(Summary!N$1,'RA1- Elevated Dumps Upper'!$A$9:$BN$9,1),FALSE),0)+IFERROR(VLOOKUP($B18,'RA2-Elevated Dumps Slopes'!$A$11:$BN$18,MATCH(Summary!N$1,'RA2-Elevated Dumps Slopes'!$A$9:$BN$9,1),FALSE),0)+IFERROR(VLOOKUP($B18,'RA3-Backfilled Pits'!$A$11:$BN$18,MATCH(Summary!N$1,'RA3-Backfilled Pits'!$A$9:$BN$9,1),FALSE),0)+IFERROR(VLOOKUP($B18,'RA4-Tracks_Roads'!$A$11:$BN$18,MATCH(Summary!N$1,'RA4-Tracks_Roads'!$A$9:$BN$9,1),FALSE),0)+IFERROR(VLOOKUP($B18,'RA5-ROM'!$A$11:$BN$18,MATCH(Summary!N$1,'RA5-ROM'!$A$9:$BN$9,1),FALSE),0)+IFERROR(VLOOKUP($B18,'RA6-CHPP'!$A$11:$BN$18,MATCH(Summary!N$1,'RA6-CHPP'!$A$9:$BN$9,1),FALSE),0)+IFERROR(VLOOKUP($B18,'RA7-Mine Infrastructure Area'!$A$11:$BN$18,MATCH(Summary!N$1,'RA7-Mine Infrastructure Area'!$A$9:$BN$9,1),FALSE),0)+IFERROR(VLOOKUP($B18,'RA8-Water Management Structures'!$A$11:$BN$18,MATCH(Summary!N$1,'RA8-Water Management Structures'!$A$9:$BN$9,1),FALSE),0)+IFERROR(VLOOKUP($B18,'RA9-Codisposal Upper'!$A$11:$BN$18,MATCH(Summary!N$1,'RA9-Codisposal Upper'!$A$9:$BN$9,1),FALSE),0)+IFERROR(VLOOKUP($B18,'RA10-Codisposal Slopes'!$A$11:$BN$18,MATCH(Summary!N$1,'RA10-Codisposal Slopes'!$A$9:$BN$9,1),FALSE),0)+IFERROR(VLOOKUP($B18,'IA1-Final Void inc Ramps'!$A$11:$BN$18,MATCH(Summary!N$1,'IA1-Final Void inc Ramps'!$A$9:$BN$9,1),FALSE),0)</f>
        <v>241.43900000000002</v>
      </c>
      <c r="O18" s="47">
        <f>IFERROR(VLOOKUP($B18,'RA1- Elevated Dumps Upper'!$A$11:$BN$18,MATCH(Summary!O$1,'RA1- Elevated Dumps Upper'!$A$9:$BN$9,1),FALSE),0)+IFERROR(VLOOKUP($B18,'RA2-Elevated Dumps Slopes'!$A$11:$BN$18,MATCH(Summary!O$1,'RA2-Elevated Dumps Slopes'!$A$9:$BN$9,1),FALSE),0)+IFERROR(VLOOKUP($B18,'RA3-Backfilled Pits'!$A$11:$BN$18,MATCH(Summary!O$1,'RA3-Backfilled Pits'!$A$9:$BN$9,1),FALSE),0)+IFERROR(VLOOKUP($B18,'RA4-Tracks_Roads'!$A$11:$BN$18,MATCH(Summary!O$1,'RA4-Tracks_Roads'!$A$9:$BN$9,1),FALSE),0)+IFERROR(VLOOKUP($B18,'RA5-ROM'!$A$11:$BN$18,MATCH(Summary!O$1,'RA5-ROM'!$A$9:$BN$9,1),FALSE),0)+IFERROR(VLOOKUP($B18,'RA6-CHPP'!$A$11:$BN$18,MATCH(Summary!O$1,'RA6-CHPP'!$A$9:$BN$9,1),FALSE),0)+IFERROR(VLOOKUP($B18,'RA7-Mine Infrastructure Area'!$A$11:$BN$18,MATCH(Summary!O$1,'RA7-Mine Infrastructure Area'!$A$9:$BN$9,1),FALSE),0)+IFERROR(VLOOKUP($B18,'RA8-Water Management Structures'!$A$11:$BN$18,MATCH(Summary!O$1,'RA8-Water Management Structures'!$A$9:$BN$9,1),FALSE),0)+IFERROR(VLOOKUP($B18,'RA9-Codisposal Upper'!$A$11:$BN$18,MATCH(Summary!O$1,'RA9-Codisposal Upper'!$A$9:$BN$9,1),FALSE),0)+IFERROR(VLOOKUP($B18,'RA10-Codisposal Slopes'!$A$11:$BN$18,MATCH(Summary!O$1,'RA10-Codisposal Slopes'!$A$9:$BN$9,1),FALSE),0)+IFERROR(VLOOKUP($B18,'IA1-Final Void inc Ramps'!$A$11:$BN$18,MATCH(Summary!O$1,'IA1-Final Void inc Ramps'!$A$9:$BN$9,1),FALSE),0)</f>
        <v>433.27699999999999</v>
      </c>
      <c r="P18" s="47">
        <f>IFERROR(VLOOKUP($B18,'RA1- Elevated Dumps Upper'!$A$11:$BN$18,MATCH(Summary!P$1,'RA1- Elevated Dumps Upper'!$A$9:$BN$9,1),FALSE),0)+IFERROR(VLOOKUP($B18,'RA2-Elevated Dumps Slopes'!$A$11:$BN$18,MATCH(Summary!P$1,'RA2-Elevated Dumps Slopes'!$A$9:$BN$9,1),FALSE),0)+IFERROR(VLOOKUP($B18,'RA3-Backfilled Pits'!$A$11:$BN$18,MATCH(Summary!P$1,'RA3-Backfilled Pits'!$A$9:$BN$9,1),FALSE),0)+IFERROR(VLOOKUP($B18,'RA4-Tracks_Roads'!$A$11:$BN$18,MATCH(Summary!P$1,'RA4-Tracks_Roads'!$A$9:$BN$9,1),FALSE),0)+IFERROR(VLOOKUP($B18,'RA5-ROM'!$A$11:$BN$18,MATCH(Summary!P$1,'RA5-ROM'!$A$9:$BN$9,1),FALSE),0)+IFERROR(VLOOKUP($B18,'RA6-CHPP'!$A$11:$BN$18,MATCH(Summary!P$1,'RA6-CHPP'!$A$9:$BN$9,1),FALSE),0)+IFERROR(VLOOKUP($B18,'RA7-Mine Infrastructure Area'!$A$11:$BN$18,MATCH(Summary!P$1,'RA7-Mine Infrastructure Area'!$A$9:$BN$9,1),FALSE),0)+IFERROR(VLOOKUP($B18,'RA8-Water Management Structures'!$A$11:$BN$18,MATCH(Summary!P$1,'RA8-Water Management Structures'!$A$9:$BN$9,1),FALSE),0)+IFERROR(VLOOKUP($B18,'RA9-Codisposal Upper'!$A$11:$BN$18,MATCH(Summary!P$1,'RA9-Codisposal Upper'!$A$9:$BN$9,1),FALSE),0)+IFERROR(VLOOKUP($B18,'RA10-Codisposal Slopes'!$A$11:$BN$18,MATCH(Summary!P$1,'RA10-Codisposal Slopes'!$A$9:$BN$9,1),FALSE),0)+IFERROR(VLOOKUP($B18,'IA1-Final Void inc Ramps'!$A$11:$BN$18,MATCH(Summary!P$1,'IA1-Final Void inc Ramps'!$A$9:$BN$9,1),FALSE),0)</f>
        <v>509.03999999999996</v>
      </c>
      <c r="Q18" s="47">
        <f>IFERROR(VLOOKUP($B18,'RA1- Elevated Dumps Upper'!$A$11:$BN$18,MATCH(Summary!Q$1,'RA1- Elevated Dumps Upper'!$A$9:$BN$9,1),FALSE),0)+IFERROR(VLOOKUP($B18,'RA2-Elevated Dumps Slopes'!$A$11:$BN$18,MATCH(Summary!Q$1,'RA2-Elevated Dumps Slopes'!$A$9:$BN$9,1),FALSE),0)+IFERROR(VLOOKUP($B18,'RA3-Backfilled Pits'!$A$11:$BN$18,MATCH(Summary!Q$1,'RA3-Backfilled Pits'!$A$9:$BN$9,1),FALSE),0)+IFERROR(VLOOKUP($B18,'RA4-Tracks_Roads'!$A$11:$BN$18,MATCH(Summary!Q$1,'RA4-Tracks_Roads'!$A$9:$BN$9,1),FALSE),0)+IFERROR(VLOOKUP($B18,'RA5-ROM'!$A$11:$BN$18,MATCH(Summary!Q$1,'RA5-ROM'!$A$9:$BN$9,1),FALSE),0)+IFERROR(VLOOKUP($B18,'RA6-CHPP'!$A$11:$BN$18,MATCH(Summary!Q$1,'RA6-CHPP'!$A$9:$BN$9,1),FALSE),0)+IFERROR(VLOOKUP($B18,'RA7-Mine Infrastructure Area'!$A$11:$BN$18,MATCH(Summary!Q$1,'RA7-Mine Infrastructure Area'!$A$9:$BN$9,1),FALSE),0)+IFERROR(VLOOKUP($B18,'RA8-Water Management Structures'!$A$11:$BN$18,MATCH(Summary!Q$1,'RA8-Water Management Structures'!$A$9:$BN$9,1),FALSE),0)+IFERROR(VLOOKUP($B18,'RA9-Codisposal Upper'!$A$11:$BN$18,MATCH(Summary!Q$1,'RA9-Codisposal Upper'!$A$9:$BN$9,1),FALSE),0)+IFERROR(VLOOKUP($B18,'RA10-Codisposal Slopes'!$A$11:$BN$18,MATCH(Summary!Q$1,'RA10-Codisposal Slopes'!$A$9:$BN$9,1),FALSE),0)+IFERROR(VLOOKUP($B18,'IA1-Final Void inc Ramps'!$A$11:$BN$18,MATCH(Summary!Q$1,'IA1-Final Void inc Ramps'!$A$9:$BN$9,1),FALSE),0)</f>
        <v>543.51400000000001</v>
      </c>
      <c r="R18" s="47">
        <f>IFERROR(VLOOKUP($B18,'RA1- Elevated Dumps Upper'!$A$11:$BN$18,MATCH(Summary!R$1,'RA1- Elevated Dumps Upper'!$A$9:$BN$9,1),FALSE),0)+IFERROR(VLOOKUP($B18,'RA2-Elevated Dumps Slopes'!$A$11:$BN$18,MATCH(Summary!R$1,'RA2-Elevated Dumps Slopes'!$A$9:$BN$9,1),FALSE),0)+IFERROR(VLOOKUP($B18,'RA3-Backfilled Pits'!$A$11:$BN$18,MATCH(Summary!R$1,'RA3-Backfilled Pits'!$A$9:$BN$9,1),FALSE),0)+IFERROR(VLOOKUP($B18,'RA4-Tracks_Roads'!$A$11:$BN$18,MATCH(Summary!R$1,'RA4-Tracks_Roads'!$A$9:$BN$9,1),FALSE),0)+IFERROR(VLOOKUP($B18,'RA5-ROM'!$A$11:$BN$18,MATCH(Summary!R$1,'RA5-ROM'!$A$9:$BN$9,1),FALSE),0)+IFERROR(VLOOKUP($B18,'RA6-CHPP'!$A$11:$BN$18,MATCH(Summary!R$1,'RA6-CHPP'!$A$9:$BN$9,1),FALSE),0)+IFERROR(VLOOKUP($B18,'RA7-Mine Infrastructure Area'!$A$11:$BN$18,MATCH(Summary!R$1,'RA7-Mine Infrastructure Area'!$A$9:$BN$9,1),FALSE),0)+IFERROR(VLOOKUP($B18,'RA8-Water Management Structures'!$A$11:$BN$18,MATCH(Summary!R$1,'RA8-Water Management Structures'!$A$9:$BN$9,1),FALSE),0)+IFERROR(VLOOKUP($B18,'RA9-Codisposal Upper'!$A$11:$BN$18,MATCH(Summary!R$1,'RA9-Codisposal Upper'!$A$9:$BN$9,1),FALSE),0)+IFERROR(VLOOKUP($B18,'RA10-Codisposal Slopes'!$A$11:$BN$18,MATCH(Summary!R$1,'RA10-Codisposal Slopes'!$A$9:$BN$9,1),FALSE),0)+IFERROR(VLOOKUP($B18,'IA1-Final Void inc Ramps'!$A$11:$BN$18,MATCH(Summary!R$1,'IA1-Final Void inc Ramps'!$A$9:$BN$9,1),FALSE),0)</f>
        <v>601.03399999999999</v>
      </c>
      <c r="S18" s="47">
        <f>IFERROR(VLOOKUP($B18,'RA1- Elevated Dumps Upper'!$A$11:$BN$18,MATCH(Summary!S$1,'RA1- Elevated Dumps Upper'!$A$9:$BN$9,1),FALSE),0)+IFERROR(VLOOKUP($B18,'RA2-Elevated Dumps Slopes'!$A$11:$BN$18,MATCH(Summary!S$1,'RA2-Elevated Dumps Slopes'!$A$9:$BN$9,1),FALSE),0)+IFERROR(VLOOKUP($B18,'RA3-Backfilled Pits'!$A$11:$BN$18,MATCH(Summary!S$1,'RA3-Backfilled Pits'!$A$9:$BN$9,1),FALSE),0)+IFERROR(VLOOKUP($B18,'RA4-Tracks_Roads'!$A$11:$BN$18,MATCH(Summary!S$1,'RA4-Tracks_Roads'!$A$9:$BN$9,1),FALSE),0)+IFERROR(VLOOKUP($B18,'RA5-ROM'!$A$11:$BN$18,MATCH(Summary!S$1,'RA5-ROM'!$A$9:$BN$9,1),FALSE),0)+IFERROR(VLOOKUP($B18,'RA6-CHPP'!$A$11:$BN$18,MATCH(Summary!S$1,'RA6-CHPP'!$A$9:$BN$9,1),FALSE),0)+IFERROR(VLOOKUP($B18,'RA7-Mine Infrastructure Area'!$A$11:$BN$18,MATCH(Summary!S$1,'RA7-Mine Infrastructure Area'!$A$9:$BN$9,1),FALSE),0)+IFERROR(VLOOKUP($B18,'RA8-Water Management Structures'!$A$11:$BN$18,MATCH(Summary!S$1,'RA8-Water Management Structures'!$A$9:$BN$9,1),FALSE),0)+IFERROR(VLOOKUP($B18,'RA9-Codisposal Upper'!$A$11:$BN$18,MATCH(Summary!S$1,'RA9-Codisposal Upper'!$A$9:$BN$9,1),FALSE),0)+IFERROR(VLOOKUP($B18,'RA10-Codisposal Slopes'!$A$11:$BN$18,MATCH(Summary!S$1,'RA10-Codisposal Slopes'!$A$9:$BN$9,1),FALSE),0)+IFERROR(VLOOKUP($B18,'IA1-Final Void inc Ramps'!$A$11:$BN$18,MATCH(Summary!S$1,'IA1-Final Void inc Ramps'!$A$9:$BN$9,1),FALSE),0)</f>
        <v>657.9899999999999</v>
      </c>
      <c r="T18" s="47">
        <f>IFERROR(VLOOKUP($B18,'RA1- Elevated Dumps Upper'!$A$11:$BN$18,MATCH(Summary!T$1,'RA1- Elevated Dumps Upper'!$A$9:$BN$9,1),FALSE),0)+IFERROR(VLOOKUP($B18,'RA2-Elevated Dumps Slopes'!$A$11:$BN$18,MATCH(Summary!T$1,'RA2-Elevated Dumps Slopes'!$A$9:$BN$9,1),FALSE),0)+IFERROR(VLOOKUP($B18,'RA3-Backfilled Pits'!$A$11:$BN$18,MATCH(Summary!T$1,'RA3-Backfilled Pits'!$A$9:$BN$9,1),FALSE),0)+IFERROR(VLOOKUP($B18,'RA4-Tracks_Roads'!$A$11:$BN$18,MATCH(Summary!T$1,'RA4-Tracks_Roads'!$A$9:$BN$9,1),FALSE),0)+IFERROR(VLOOKUP($B18,'RA5-ROM'!$A$11:$BN$18,MATCH(Summary!T$1,'RA5-ROM'!$A$9:$BN$9,1),FALSE),0)+IFERROR(VLOOKUP($B18,'RA6-CHPP'!$A$11:$BN$18,MATCH(Summary!T$1,'RA6-CHPP'!$A$9:$BN$9,1),FALSE),0)+IFERROR(VLOOKUP($B18,'RA7-Mine Infrastructure Area'!$A$11:$BN$18,MATCH(Summary!T$1,'RA7-Mine Infrastructure Area'!$A$9:$BN$9,1),FALSE),0)+IFERROR(VLOOKUP($B18,'RA8-Water Management Structures'!$A$11:$BN$18,MATCH(Summary!T$1,'RA8-Water Management Structures'!$A$9:$BN$9,1),FALSE),0)+IFERROR(VLOOKUP($B18,'RA9-Codisposal Upper'!$A$11:$BN$18,MATCH(Summary!T$1,'RA9-Codisposal Upper'!$A$9:$BN$9,1),FALSE),0)+IFERROR(VLOOKUP($B18,'RA10-Codisposal Slopes'!$A$11:$BN$18,MATCH(Summary!T$1,'RA10-Codisposal Slopes'!$A$9:$BN$9,1),FALSE),0)+IFERROR(VLOOKUP($B18,'IA1-Final Void inc Ramps'!$A$11:$BN$18,MATCH(Summary!T$1,'IA1-Final Void inc Ramps'!$A$9:$BN$9,1),FALSE),0)</f>
        <v>680.76199999999994</v>
      </c>
      <c r="U18" s="47">
        <f>IFERROR(VLOOKUP($B18,'RA1- Elevated Dumps Upper'!$A$11:$BN$18,MATCH(Summary!U$1,'RA1- Elevated Dumps Upper'!$A$9:$BN$9,1),FALSE),0)+IFERROR(VLOOKUP($B18,'RA2-Elevated Dumps Slopes'!$A$11:$BN$18,MATCH(Summary!U$1,'RA2-Elevated Dumps Slopes'!$A$9:$BN$9,1),FALSE),0)+IFERROR(VLOOKUP($B18,'RA3-Backfilled Pits'!$A$11:$BN$18,MATCH(Summary!U$1,'RA3-Backfilled Pits'!$A$9:$BN$9,1),FALSE),0)+IFERROR(VLOOKUP($B18,'RA4-Tracks_Roads'!$A$11:$BN$18,MATCH(Summary!U$1,'RA4-Tracks_Roads'!$A$9:$BN$9,1),FALSE),0)+IFERROR(VLOOKUP($B18,'RA5-ROM'!$A$11:$BN$18,MATCH(Summary!U$1,'RA5-ROM'!$A$9:$BN$9,1),FALSE),0)+IFERROR(VLOOKUP($B18,'RA6-CHPP'!$A$11:$BN$18,MATCH(Summary!U$1,'RA6-CHPP'!$A$9:$BN$9,1),FALSE),0)+IFERROR(VLOOKUP($B18,'RA7-Mine Infrastructure Area'!$A$11:$BN$18,MATCH(Summary!U$1,'RA7-Mine Infrastructure Area'!$A$9:$BN$9,1),FALSE),0)+IFERROR(VLOOKUP($B18,'RA8-Water Management Structures'!$A$11:$BN$18,MATCH(Summary!U$1,'RA8-Water Management Structures'!$A$9:$BN$9,1),FALSE),0)+IFERROR(VLOOKUP($B18,'RA9-Codisposal Upper'!$A$11:$BN$18,MATCH(Summary!U$1,'RA9-Codisposal Upper'!$A$9:$BN$9,1),FALSE),0)+IFERROR(VLOOKUP($B18,'RA10-Codisposal Slopes'!$A$11:$BN$18,MATCH(Summary!U$1,'RA10-Codisposal Slopes'!$A$9:$BN$9,1),FALSE),0)+IFERROR(VLOOKUP($B18,'IA1-Final Void inc Ramps'!$A$11:$BN$18,MATCH(Summary!U$1,'IA1-Final Void inc Ramps'!$A$9:$BN$9,1),FALSE),0)</f>
        <v>701.06399999999985</v>
      </c>
      <c r="V18" s="47">
        <f>IFERROR(VLOOKUP($B18,'RA1- Elevated Dumps Upper'!$A$11:$BN$18,MATCH(Summary!V$1,'RA1- Elevated Dumps Upper'!$A$9:$BN$9,1),FALSE),0)+IFERROR(VLOOKUP($B18,'RA2-Elevated Dumps Slopes'!$A$11:$BN$18,MATCH(Summary!V$1,'RA2-Elevated Dumps Slopes'!$A$9:$BN$9,1),FALSE),0)+IFERROR(VLOOKUP($B18,'RA3-Backfilled Pits'!$A$11:$BN$18,MATCH(Summary!V$1,'RA3-Backfilled Pits'!$A$9:$BN$9,1),FALSE),0)+IFERROR(VLOOKUP($B18,'RA4-Tracks_Roads'!$A$11:$BN$18,MATCH(Summary!V$1,'RA4-Tracks_Roads'!$A$9:$BN$9,1),FALSE),0)+IFERROR(VLOOKUP($B18,'RA5-ROM'!$A$11:$BN$18,MATCH(Summary!V$1,'RA5-ROM'!$A$9:$BN$9,1),FALSE),0)+IFERROR(VLOOKUP($B18,'RA6-CHPP'!$A$11:$BN$18,MATCH(Summary!V$1,'RA6-CHPP'!$A$9:$BN$9,1),FALSE),0)+IFERROR(VLOOKUP($B18,'RA7-Mine Infrastructure Area'!$A$11:$BN$18,MATCH(Summary!V$1,'RA7-Mine Infrastructure Area'!$A$9:$BN$9,1),FALSE),0)+IFERROR(VLOOKUP($B18,'RA8-Water Management Structures'!$A$11:$BN$18,MATCH(Summary!V$1,'RA8-Water Management Structures'!$A$9:$BN$9,1),FALSE),0)+IFERROR(VLOOKUP($B18,'RA9-Codisposal Upper'!$A$11:$BN$18,MATCH(Summary!V$1,'RA9-Codisposal Upper'!$A$9:$BN$9,1),FALSE),0)+IFERROR(VLOOKUP($B18,'RA10-Codisposal Slopes'!$A$11:$BN$18,MATCH(Summary!V$1,'RA10-Codisposal Slopes'!$A$9:$BN$9,1),FALSE),0)+IFERROR(VLOOKUP($B18,'IA1-Final Void inc Ramps'!$A$11:$BN$18,MATCH(Summary!V$1,'IA1-Final Void inc Ramps'!$A$9:$BN$9,1),FALSE),0)</f>
        <v>701.06399999999985</v>
      </c>
      <c r="W18" s="47">
        <f>IFERROR(VLOOKUP($B18,'RA1- Elevated Dumps Upper'!$A$11:$BN$18,MATCH(Summary!W$1,'RA1- Elevated Dumps Upper'!$A$9:$BN$9,1),FALSE),0)+IFERROR(VLOOKUP($B18,'RA2-Elevated Dumps Slopes'!$A$11:$BN$18,MATCH(Summary!W$1,'RA2-Elevated Dumps Slopes'!$A$9:$BN$9,1),FALSE),0)+IFERROR(VLOOKUP($B18,'RA3-Backfilled Pits'!$A$11:$BN$18,MATCH(Summary!W$1,'RA3-Backfilled Pits'!$A$9:$BN$9,1),FALSE),0)+IFERROR(VLOOKUP($B18,'RA4-Tracks_Roads'!$A$11:$BN$18,MATCH(Summary!W$1,'RA4-Tracks_Roads'!$A$9:$BN$9,1),FALSE),0)+IFERROR(VLOOKUP($B18,'RA5-ROM'!$A$11:$BN$18,MATCH(Summary!W$1,'RA5-ROM'!$A$9:$BN$9,1),FALSE),0)+IFERROR(VLOOKUP($B18,'RA6-CHPP'!$A$11:$BN$18,MATCH(Summary!W$1,'RA6-CHPP'!$A$9:$BN$9,1),FALSE),0)+IFERROR(VLOOKUP($B18,'RA7-Mine Infrastructure Area'!$A$11:$BN$18,MATCH(Summary!W$1,'RA7-Mine Infrastructure Area'!$A$9:$BN$9,1),FALSE),0)+IFERROR(VLOOKUP($B18,'RA8-Water Management Structures'!$A$11:$BN$18,MATCH(Summary!W$1,'RA8-Water Management Structures'!$A$9:$BN$9,1),FALSE),0)+IFERROR(VLOOKUP($B18,'RA9-Codisposal Upper'!$A$11:$BN$18,MATCH(Summary!W$1,'RA9-Codisposal Upper'!$A$9:$BN$9,1),FALSE),0)+IFERROR(VLOOKUP($B18,'RA10-Codisposal Slopes'!$A$11:$BN$18,MATCH(Summary!W$1,'RA10-Codisposal Slopes'!$A$9:$BN$9,1),FALSE),0)+IFERROR(VLOOKUP($B18,'IA1-Final Void inc Ramps'!$A$11:$BN$18,MATCH(Summary!W$1,'IA1-Final Void inc Ramps'!$A$9:$BN$9,1),FALSE),0)</f>
        <v>725.3119999999999</v>
      </c>
      <c r="X18" s="47">
        <f>IFERROR(VLOOKUP($B18,'RA1- Elevated Dumps Upper'!$A$11:$BN$18,MATCH(Summary!X$1,'RA1- Elevated Dumps Upper'!$A$9:$BN$9,1),FALSE),0)+IFERROR(VLOOKUP($B18,'RA2-Elevated Dumps Slopes'!$A$11:$BN$18,MATCH(Summary!X$1,'RA2-Elevated Dumps Slopes'!$A$9:$BN$9,1),FALSE),0)+IFERROR(VLOOKUP($B18,'RA3-Backfilled Pits'!$A$11:$BN$18,MATCH(Summary!X$1,'RA3-Backfilled Pits'!$A$9:$BN$9,1),FALSE),0)+IFERROR(VLOOKUP($B18,'RA4-Tracks_Roads'!$A$11:$BN$18,MATCH(Summary!X$1,'RA4-Tracks_Roads'!$A$9:$BN$9,1),FALSE),0)+IFERROR(VLOOKUP($B18,'RA5-ROM'!$A$11:$BN$18,MATCH(Summary!X$1,'RA5-ROM'!$A$9:$BN$9,1),FALSE),0)+IFERROR(VLOOKUP($B18,'RA6-CHPP'!$A$11:$BN$18,MATCH(Summary!X$1,'RA6-CHPP'!$A$9:$BN$9,1),FALSE),0)+IFERROR(VLOOKUP($B18,'RA7-Mine Infrastructure Area'!$A$11:$BN$18,MATCH(Summary!X$1,'RA7-Mine Infrastructure Area'!$A$9:$BN$9,1),FALSE),0)+IFERROR(VLOOKUP($B18,'RA8-Water Management Structures'!$A$11:$BN$18,MATCH(Summary!X$1,'RA8-Water Management Structures'!$A$9:$BN$9,1),FALSE),0)+IFERROR(VLOOKUP($B18,'RA9-Codisposal Upper'!$A$11:$BN$18,MATCH(Summary!X$1,'RA9-Codisposal Upper'!$A$9:$BN$9,1),FALSE),0)+IFERROR(VLOOKUP($B18,'RA10-Codisposal Slopes'!$A$11:$BN$18,MATCH(Summary!X$1,'RA10-Codisposal Slopes'!$A$9:$BN$9,1),FALSE),0)+IFERROR(VLOOKUP($B18,'IA1-Final Void inc Ramps'!$A$11:$BN$18,MATCH(Summary!X$1,'IA1-Final Void inc Ramps'!$A$9:$BN$9,1),FALSE),0)</f>
        <v>759.93</v>
      </c>
      <c r="Y18" s="47">
        <f>IFERROR(VLOOKUP($B18,'RA1- Elevated Dumps Upper'!$A$11:$BN$18,MATCH(Summary!Y$1,'RA1- Elevated Dumps Upper'!$A$9:$BN$9,1),FALSE),0)+IFERROR(VLOOKUP($B18,'RA2-Elevated Dumps Slopes'!$A$11:$BN$18,MATCH(Summary!Y$1,'RA2-Elevated Dumps Slopes'!$A$9:$BN$9,1),FALSE),0)+IFERROR(VLOOKUP($B18,'RA3-Backfilled Pits'!$A$11:$BN$18,MATCH(Summary!Y$1,'RA3-Backfilled Pits'!$A$9:$BN$9,1),FALSE),0)+IFERROR(VLOOKUP($B18,'RA4-Tracks_Roads'!$A$11:$BN$18,MATCH(Summary!Y$1,'RA4-Tracks_Roads'!$A$9:$BN$9,1),FALSE),0)+IFERROR(VLOOKUP($B18,'RA5-ROM'!$A$11:$BN$18,MATCH(Summary!Y$1,'RA5-ROM'!$A$9:$BN$9,1),FALSE),0)+IFERROR(VLOOKUP($B18,'RA6-CHPP'!$A$11:$BN$18,MATCH(Summary!Y$1,'RA6-CHPP'!$A$9:$BN$9,1),FALSE),0)+IFERROR(VLOOKUP($B18,'RA7-Mine Infrastructure Area'!$A$11:$BN$18,MATCH(Summary!Y$1,'RA7-Mine Infrastructure Area'!$A$9:$BN$9,1),FALSE),0)+IFERROR(VLOOKUP($B18,'RA8-Water Management Structures'!$A$11:$BN$18,MATCH(Summary!Y$1,'RA8-Water Management Structures'!$A$9:$BN$9,1),FALSE),0)+IFERROR(VLOOKUP($B18,'RA9-Codisposal Upper'!$A$11:$BN$18,MATCH(Summary!Y$1,'RA9-Codisposal Upper'!$A$9:$BN$9,1),FALSE),0)+IFERROR(VLOOKUP($B18,'RA10-Codisposal Slopes'!$A$11:$BN$18,MATCH(Summary!Y$1,'RA10-Codisposal Slopes'!$A$9:$BN$9,1),FALSE),0)+IFERROR(VLOOKUP($B18,'IA1-Final Void inc Ramps'!$A$11:$BN$18,MATCH(Summary!Y$1,'IA1-Final Void inc Ramps'!$A$9:$BN$9,1),FALSE),0)</f>
        <v>825.22</v>
      </c>
      <c r="Z18" s="47">
        <f>IFERROR(VLOOKUP($B18,'RA1- Elevated Dumps Upper'!$A$11:$BN$18,MATCH(Summary!Z$1,'RA1- Elevated Dumps Upper'!$A$9:$BN$9,1),FALSE),0)+IFERROR(VLOOKUP($B18,'RA2-Elevated Dumps Slopes'!$A$11:$BN$18,MATCH(Summary!Z$1,'RA2-Elevated Dumps Slopes'!$A$9:$BN$9,1),FALSE),0)+IFERROR(VLOOKUP($B18,'RA3-Backfilled Pits'!$A$11:$BN$18,MATCH(Summary!Z$1,'RA3-Backfilled Pits'!$A$9:$BN$9,1),FALSE),0)+IFERROR(VLOOKUP($B18,'RA4-Tracks_Roads'!$A$11:$BN$18,MATCH(Summary!Z$1,'RA4-Tracks_Roads'!$A$9:$BN$9,1),FALSE),0)+IFERROR(VLOOKUP($B18,'RA5-ROM'!$A$11:$BN$18,MATCH(Summary!Z$1,'RA5-ROM'!$A$9:$BN$9,1),FALSE),0)+IFERROR(VLOOKUP($B18,'RA6-CHPP'!$A$11:$BN$18,MATCH(Summary!Z$1,'RA6-CHPP'!$A$9:$BN$9,1),FALSE),0)+IFERROR(VLOOKUP($B18,'RA7-Mine Infrastructure Area'!$A$11:$BN$18,MATCH(Summary!Z$1,'RA7-Mine Infrastructure Area'!$A$9:$BN$9,1),FALSE),0)+IFERROR(VLOOKUP($B18,'RA8-Water Management Structures'!$A$11:$BN$18,MATCH(Summary!Z$1,'RA8-Water Management Structures'!$A$9:$BN$9,1),FALSE),0)+IFERROR(VLOOKUP($B18,'RA9-Codisposal Upper'!$A$11:$BN$18,MATCH(Summary!Z$1,'RA9-Codisposal Upper'!$A$9:$BN$9,1),FALSE),0)+IFERROR(VLOOKUP($B18,'RA10-Codisposal Slopes'!$A$11:$BN$18,MATCH(Summary!Z$1,'RA10-Codisposal Slopes'!$A$9:$BN$9,1),FALSE),0)+IFERROR(VLOOKUP($B18,'IA1-Final Void inc Ramps'!$A$11:$BN$18,MATCH(Summary!Z$1,'IA1-Final Void inc Ramps'!$A$9:$BN$9,1),FALSE),0)</f>
        <v>860.49299999999994</v>
      </c>
      <c r="AA18" s="47">
        <f>IFERROR(VLOOKUP($B18,'RA1- Elevated Dumps Upper'!$A$11:$BN$18,MATCH(Summary!AA$1,'RA1- Elevated Dumps Upper'!$A$9:$BN$9,1),FALSE),0)+IFERROR(VLOOKUP($B18,'RA2-Elevated Dumps Slopes'!$A$11:$BN$18,MATCH(Summary!AA$1,'RA2-Elevated Dumps Slopes'!$A$9:$BN$9,1),FALSE),0)+IFERROR(VLOOKUP($B18,'RA3-Backfilled Pits'!$A$11:$BN$18,MATCH(Summary!AA$1,'RA3-Backfilled Pits'!$A$9:$BN$9,1),FALSE),0)+IFERROR(VLOOKUP($B18,'RA4-Tracks_Roads'!$A$11:$BN$18,MATCH(Summary!AA$1,'RA4-Tracks_Roads'!$A$9:$BN$9,1),FALSE),0)+IFERROR(VLOOKUP($B18,'RA5-ROM'!$A$11:$BN$18,MATCH(Summary!AA$1,'RA5-ROM'!$A$9:$BN$9,1),FALSE),0)+IFERROR(VLOOKUP($B18,'RA6-CHPP'!$A$11:$BN$18,MATCH(Summary!AA$1,'RA6-CHPP'!$A$9:$BN$9,1),FALSE),0)+IFERROR(VLOOKUP($B18,'RA7-Mine Infrastructure Area'!$A$11:$BN$18,MATCH(Summary!AA$1,'RA7-Mine Infrastructure Area'!$A$9:$BN$9,1),FALSE),0)+IFERROR(VLOOKUP($B18,'RA8-Water Management Structures'!$A$11:$BN$18,MATCH(Summary!AA$1,'RA8-Water Management Structures'!$A$9:$BN$9,1),FALSE),0)+IFERROR(VLOOKUP($B18,'RA9-Codisposal Upper'!$A$11:$BN$18,MATCH(Summary!AA$1,'RA9-Codisposal Upper'!$A$9:$BN$9,1),FALSE),0)+IFERROR(VLOOKUP($B18,'RA10-Codisposal Slopes'!$A$11:$BN$18,MATCH(Summary!AA$1,'RA10-Codisposal Slopes'!$A$9:$BN$9,1),FALSE),0)+IFERROR(VLOOKUP($B18,'IA1-Final Void inc Ramps'!$A$11:$BN$18,MATCH(Summary!AA$1,'IA1-Final Void inc Ramps'!$A$9:$BN$9,1),FALSE),0)</f>
        <v>860.49299999999994</v>
      </c>
      <c r="AB18" s="47">
        <f>IFERROR(VLOOKUP($B18,'RA1- Elevated Dumps Upper'!$A$11:$BN$18,MATCH(Summary!AB$1,'RA1- Elevated Dumps Upper'!$A$9:$BN$9,1),FALSE),0)+IFERROR(VLOOKUP($B18,'RA2-Elevated Dumps Slopes'!$A$11:$BN$18,MATCH(Summary!AB$1,'RA2-Elevated Dumps Slopes'!$A$9:$BN$9,1),FALSE),0)+IFERROR(VLOOKUP($B18,'RA3-Backfilled Pits'!$A$11:$BN$18,MATCH(Summary!AB$1,'RA3-Backfilled Pits'!$A$9:$BN$9,1),FALSE),0)+IFERROR(VLOOKUP($B18,'RA4-Tracks_Roads'!$A$11:$BN$18,MATCH(Summary!AB$1,'RA4-Tracks_Roads'!$A$9:$BN$9,1),FALSE),0)+IFERROR(VLOOKUP($B18,'RA5-ROM'!$A$11:$BN$18,MATCH(Summary!AB$1,'RA5-ROM'!$A$9:$BN$9,1),FALSE),0)+IFERROR(VLOOKUP($B18,'RA6-CHPP'!$A$11:$BN$18,MATCH(Summary!AB$1,'RA6-CHPP'!$A$9:$BN$9,1),FALSE),0)+IFERROR(VLOOKUP($B18,'RA7-Mine Infrastructure Area'!$A$11:$BN$18,MATCH(Summary!AB$1,'RA7-Mine Infrastructure Area'!$A$9:$BN$9,1),FALSE),0)+IFERROR(VLOOKUP($B18,'RA8-Water Management Structures'!$A$11:$BN$18,MATCH(Summary!AB$1,'RA8-Water Management Structures'!$A$9:$BN$9,1),FALSE),0)+IFERROR(VLOOKUP($B18,'RA9-Codisposal Upper'!$A$11:$BN$18,MATCH(Summary!AB$1,'RA9-Codisposal Upper'!$A$9:$BN$9,1),FALSE),0)+IFERROR(VLOOKUP($B18,'RA10-Codisposal Slopes'!$A$11:$BN$18,MATCH(Summary!AB$1,'RA10-Codisposal Slopes'!$A$9:$BN$9,1),FALSE),0)+IFERROR(VLOOKUP($B18,'IA1-Final Void inc Ramps'!$A$11:$BN$18,MATCH(Summary!AB$1,'IA1-Final Void inc Ramps'!$A$9:$BN$9,1),FALSE),0)</f>
        <v>860.49299999999994</v>
      </c>
      <c r="AC18" s="47">
        <f>IFERROR(VLOOKUP($B18,'RA1- Elevated Dumps Upper'!$A$11:$BN$18,MATCH(Summary!AC$1,'RA1- Elevated Dumps Upper'!$A$9:$BN$9,1),FALSE),0)+IFERROR(VLOOKUP($B18,'RA2-Elevated Dumps Slopes'!$A$11:$BN$18,MATCH(Summary!AC$1,'RA2-Elevated Dumps Slopes'!$A$9:$BN$9,1),FALSE),0)+IFERROR(VLOOKUP($B18,'RA3-Backfilled Pits'!$A$11:$BN$18,MATCH(Summary!AC$1,'RA3-Backfilled Pits'!$A$9:$BN$9,1),FALSE),0)+IFERROR(VLOOKUP($B18,'RA4-Tracks_Roads'!$A$11:$BN$18,MATCH(Summary!AC$1,'RA4-Tracks_Roads'!$A$9:$BN$9,1),FALSE),0)+IFERROR(VLOOKUP($B18,'RA5-ROM'!$A$11:$BN$18,MATCH(Summary!AC$1,'RA5-ROM'!$A$9:$BN$9,1),FALSE),0)+IFERROR(VLOOKUP($B18,'RA6-CHPP'!$A$11:$BN$18,MATCH(Summary!AC$1,'RA6-CHPP'!$A$9:$BN$9,1),FALSE),0)+IFERROR(VLOOKUP($B18,'RA7-Mine Infrastructure Area'!$A$11:$BN$18,MATCH(Summary!AC$1,'RA7-Mine Infrastructure Area'!$A$9:$BN$9,1),FALSE),0)+IFERROR(VLOOKUP($B18,'RA8-Water Management Structures'!$A$11:$BN$18,MATCH(Summary!AC$1,'RA8-Water Management Structures'!$A$9:$BN$9,1),FALSE),0)+IFERROR(VLOOKUP($B18,'RA9-Codisposal Upper'!$A$11:$BN$18,MATCH(Summary!AC$1,'RA9-Codisposal Upper'!$A$9:$BN$9,1),FALSE),0)+IFERROR(VLOOKUP($B18,'RA10-Codisposal Slopes'!$A$11:$BN$18,MATCH(Summary!AC$1,'RA10-Codisposal Slopes'!$A$9:$BN$9,1),FALSE),0)+IFERROR(VLOOKUP($B18,'IA1-Final Void inc Ramps'!$A$11:$BN$18,MATCH(Summary!AC$1,'IA1-Final Void inc Ramps'!$A$9:$BN$9,1),FALSE),0)</f>
        <v>895.03099999999995</v>
      </c>
      <c r="AD18" s="47">
        <f>IFERROR(VLOOKUP($B18,'RA1- Elevated Dumps Upper'!$A$11:$BN$18,MATCH(Summary!AD$1,'RA1- Elevated Dumps Upper'!$A$9:$BN$9,1),FALSE),0)+IFERROR(VLOOKUP($B18,'RA2-Elevated Dumps Slopes'!$A$11:$BN$18,MATCH(Summary!AD$1,'RA2-Elevated Dumps Slopes'!$A$9:$BN$9,1),FALSE),0)+IFERROR(VLOOKUP($B18,'RA3-Backfilled Pits'!$A$11:$BN$18,MATCH(Summary!AD$1,'RA3-Backfilled Pits'!$A$9:$BN$9,1),FALSE),0)+IFERROR(VLOOKUP($B18,'RA4-Tracks_Roads'!$A$11:$BN$18,MATCH(Summary!AD$1,'RA4-Tracks_Roads'!$A$9:$BN$9,1),FALSE),0)+IFERROR(VLOOKUP($B18,'RA5-ROM'!$A$11:$BN$18,MATCH(Summary!AD$1,'RA5-ROM'!$A$9:$BN$9,1),FALSE),0)+IFERROR(VLOOKUP($B18,'RA6-CHPP'!$A$11:$BN$18,MATCH(Summary!AD$1,'RA6-CHPP'!$A$9:$BN$9,1),FALSE),0)+IFERROR(VLOOKUP($B18,'RA7-Mine Infrastructure Area'!$A$11:$BN$18,MATCH(Summary!AD$1,'RA7-Mine Infrastructure Area'!$A$9:$BN$9,1),FALSE),0)+IFERROR(VLOOKUP($B18,'RA8-Water Management Structures'!$A$11:$BN$18,MATCH(Summary!AD$1,'RA8-Water Management Structures'!$A$9:$BN$9,1),FALSE),0)+IFERROR(VLOOKUP($B18,'RA9-Codisposal Upper'!$A$11:$BN$18,MATCH(Summary!AD$1,'RA9-Codisposal Upper'!$A$9:$BN$9,1),FALSE),0)+IFERROR(VLOOKUP($B18,'RA10-Codisposal Slopes'!$A$11:$BN$18,MATCH(Summary!AD$1,'RA10-Codisposal Slopes'!$A$9:$BN$9,1),FALSE),0)+IFERROR(VLOOKUP($B18,'IA1-Final Void inc Ramps'!$A$11:$BN$18,MATCH(Summary!AD$1,'IA1-Final Void inc Ramps'!$A$9:$BN$9,1),FALSE),0)</f>
        <v>895.03099999999995</v>
      </c>
      <c r="AE18" s="47">
        <f>IFERROR(VLOOKUP($B18,'RA1- Elevated Dumps Upper'!$A$11:$BN$18,MATCH(Summary!AE$1,'RA1- Elevated Dumps Upper'!$A$9:$BN$9,1),FALSE),0)+IFERROR(VLOOKUP($B18,'RA2-Elevated Dumps Slopes'!$A$11:$BN$18,MATCH(Summary!AE$1,'RA2-Elevated Dumps Slopes'!$A$9:$BN$9,1),FALSE),0)+IFERROR(VLOOKUP($B18,'RA3-Backfilled Pits'!$A$11:$BN$18,MATCH(Summary!AE$1,'RA3-Backfilled Pits'!$A$9:$BN$9,1),FALSE),0)+IFERROR(VLOOKUP($B18,'RA4-Tracks_Roads'!$A$11:$BN$18,MATCH(Summary!AE$1,'RA4-Tracks_Roads'!$A$9:$BN$9,1),FALSE),0)+IFERROR(VLOOKUP($B18,'RA5-ROM'!$A$11:$BN$18,MATCH(Summary!AE$1,'RA5-ROM'!$A$9:$BN$9,1),FALSE),0)+IFERROR(VLOOKUP($B18,'RA6-CHPP'!$A$11:$BN$18,MATCH(Summary!AE$1,'RA6-CHPP'!$A$9:$BN$9,1),FALSE),0)+IFERROR(VLOOKUP($B18,'RA7-Mine Infrastructure Area'!$A$11:$BN$18,MATCH(Summary!AE$1,'RA7-Mine Infrastructure Area'!$A$9:$BN$9,1),FALSE),0)+IFERROR(VLOOKUP($B18,'RA8-Water Management Structures'!$A$11:$BN$18,MATCH(Summary!AE$1,'RA8-Water Management Structures'!$A$9:$BN$9,1),FALSE),0)+IFERROR(VLOOKUP($B18,'RA9-Codisposal Upper'!$A$11:$BN$18,MATCH(Summary!AE$1,'RA9-Codisposal Upper'!$A$9:$BN$9,1),FALSE),0)+IFERROR(VLOOKUP($B18,'RA10-Codisposal Slopes'!$A$11:$BN$18,MATCH(Summary!AE$1,'RA10-Codisposal Slopes'!$A$9:$BN$9,1),FALSE),0)+IFERROR(VLOOKUP($B18,'IA1-Final Void inc Ramps'!$A$11:$BN$18,MATCH(Summary!AE$1,'IA1-Final Void inc Ramps'!$A$9:$BN$9,1),FALSE),0)</f>
        <v>895.03099999999995</v>
      </c>
      <c r="AF18" s="47">
        <f>IFERROR(VLOOKUP($B18,'RA1- Elevated Dumps Upper'!$A$11:$BN$18,MATCH(Summary!AF$1,'RA1- Elevated Dumps Upper'!$A$9:$BN$9,1),FALSE),0)+IFERROR(VLOOKUP($B18,'RA2-Elevated Dumps Slopes'!$A$11:$BN$18,MATCH(Summary!AF$1,'RA2-Elevated Dumps Slopes'!$A$9:$BN$9,1),FALSE),0)+IFERROR(VLOOKUP($B18,'RA3-Backfilled Pits'!$A$11:$BN$18,MATCH(Summary!AF$1,'RA3-Backfilled Pits'!$A$9:$BN$9,1),FALSE),0)+IFERROR(VLOOKUP($B18,'RA4-Tracks_Roads'!$A$11:$BN$18,MATCH(Summary!AF$1,'RA4-Tracks_Roads'!$A$9:$BN$9,1),FALSE),0)+IFERROR(VLOOKUP($B18,'RA5-ROM'!$A$11:$BN$18,MATCH(Summary!AF$1,'RA5-ROM'!$A$9:$BN$9,1),FALSE),0)+IFERROR(VLOOKUP($B18,'RA6-CHPP'!$A$11:$BN$18,MATCH(Summary!AF$1,'RA6-CHPP'!$A$9:$BN$9,1),FALSE),0)+IFERROR(VLOOKUP($B18,'RA7-Mine Infrastructure Area'!$A$11:$BN$18,MATCH(Summary!AF$1,'RA7-Mine Infrastructure Area'!$A$9:$BN$9,1),FALSE),0)+IFERROR(VLOOKUP($B18,'RA8-Water Management Structures'!$A$11:$BN$18,MATCH(Summary!AF$1,'RA8-Water Management Structures'!$A$9:$BN$9,1),FALSE),0)+IFERROR(VLOOKUP($B18,'RA9-Codisposal Upper'!$A$11:$BN$18,MATCH(Summary!AF$1,'RA9-Codisposal Upper'!$A$9:$BN$9,1),FALSE),0)+IFERROR(VLOOKUP($B18,'RA10-Codisposal Slopes'!$A$11:$BN$18,MATCH(Summary!AF$1,'RA10-Codisposal Slopes'!$A$9:$BN$9,1),FALSE),0)+IFERROR(VLOOKUP($B18,'IA1-Final Void inc Ramps'!$A$11:$BN$18,MATCH(Summary!AF$1,'IA1-Final Void inc Ramps'!$A$9:$BN$9,1),FALSE),0)</f>
        <v>1180.752</v>
      </c>
      <c r="AG18" s="47">
        <f>IFERROR(VLOOKUP($B18,'RA1- Elevated Dumps Upper'!$A$11:$BN$18,MATCH(Summary!AG$1,'RA1- Elevated Dumps Upper'!$A$9:$BN$9,1),FALSE),0)+IFERROR(VLOOKUP($B18,'RA2-Elevated Dumps Slopes'!$A$11:$BN$18,MATCH(Summary!AG$1,'RA2-Elevated Dumps Slopes'!$A$9:$BN$9,1),FALSE),0)+IFERROR(VLOOKUP($B18,'RA3-Backfilled Pits'!$A$11:$BN$18,MATCH(Summary!AG$1,'RA3-Backfilled Pits'!$A$9:$BN$9,1),FALSE),0)+IFERROR(VLOOKUP($B18,'RA4-Tracks_Roads'!$A$11:$BN$18,MATCH(Summary!AG$1,'RA4-Tracks_Roads'!$A$9:$BN$9,1),FALSE),0)+IFERROR(VLOOKUP($B18,'RA5-ROM'!$A$11:$BN$18,MATCH(Summary!AG$1,'RA5-ROM'!$A$9:$BN$9,1),FALSE),0)+IFERROR(VLOOKUP($B18,'RA6-CHPP'!$A$11:$BN$18,MATCH(Summary!AG$1,'RA6-CHPP'!$A$9:$BN$9,1),FALSE),0)+IFERROR(VLOOKUP($B18,'RA7-Mine Infrastructure Area'!$A$11:$BN$18,MATCH(Summary!AG$1,'RA7-Mine Infrastructure Area'!$A$9:$BN$9,1),FALSE),0)+IFERROR(VLOOKUP($B18,'RA8-Water Management Structures'!$A$11:$BN$18,MATCH(Summary!AG$1,'RA8-Water Management Structures'!$A$9:$BN$9,1),FALSE),0)+IFERROR(VLOOKUP($B18,'RA9-Codisposal Upper'!$A$11:$BN$18,MATCH(Summary!AG$1,'RA9-Codisposal Upper'!$A$9:$BN$9,1),FALSE),0)+IFERROR(VLOOKUP($B18,'RA10-Codisposal Slopes'!$A$11:$BN$18,MATCH(Summary!AG$1,'RA10-Codisposal Slopes'!$A$9:$BN$9,1),FALSE),0)+IFERROR(VLOOKUP($B18,'IA1-Final Void inc Ramps'!$A$11:$BN$18,MATCH(Summary!AG$1,'IA1-Final Void inc Ramps'!$A$9:$BN$9,1),FALSE),0)</f>
        <v>1213.4450000000002</v>
      </c>
      <c r="AH18" s="47">
        <f>IFERROR(VLOOKUP($B18,'RA1- Elevated Dumps Upper'!$A$11:$BN$18,MATCH(Summary!AH$1,'RA1- Elevated Dumps Upper'!$A$9:$BN$9,1),FALSE),0)+IFERROR(VLOOKUP($B18,'RA2-Elevated Dumps Slopes'!$A$11:$BN$18,MATCH(Summary!AH$1,'RA2-Elevated Dumps Slopes'!$A$9:$BN$9,1),FALSE),0)+IFERROR(VLOOKUP($B18,'RA3-Backfilled Pits'!$A$11:$BN$18,MATCH(Summary!AH$1,'RA3-Backfilled Pits'!$A$9:$BN$9,1),FALSE),0)+IFERROR(VLOOKUP($B18,'RA4-Tracks_Roads'!$A$11:$BN$18,MATCH(Summary!AH$1,'RA4-Tracks_Roads'!$A$9:$BN$9,1),FALSE),0)+IFERROR(VLOOKUP($B18,'RA5-ROM'!$A$11:$BN$18,MATCH(Summary!AH$1,'RA5-ROM'!$A$9:$BN$9,1),FALSE),0)+IFERROR(VLOOKUP($B18,'RA6-CHPP'!$A$11:$BN$18,MATCH(Summary!AH$1,'RA6-CHPP'!$A$9:$BN$9,1),FALSE),0)+IFERROR(VLOOKUP($B18,'RA7-Mine Infrastructure Area'!$A$11:$BN$18,MATCH(Summary!AH$1,'RA7-Mine Infrastructure Area'!$A$9:$BN$9,1),FALSE),0)+IFERROR(VLOOKUP($B18,'RA8-Water Management Structures'!$A$11:$BN$18,MATCH(Summary!AH$1,'RA8-Water Management Structures'!$A$9:$BN$9,1),FALSE),0)+IFERROR(VLOOKUP($B18,'RA9-Codisposal Upper'!$A$11:$BN$18,MATCH(Summary!AH$1,'RA9-Codisposal Upper'!$A$9:$BN$9,1),FALSE),0)+IFERROR(VLOOKUP($B18,'RA10-Codisposal Slopes'!$A$11:$BN$18,MATCH(Summary!AH$1,'RA10-Codisposal Slopes'!$A$9:$BN$9,1),FALSE),0)+IFERROR(VLOOKUP($B18,'IA1-Final Void inc Ramps'!$A$11:$BN$18,MATCH(Summary!AH$1,'IA1-Final Void inc Ramps'!$A$9:$BN$9,1),FALSE),0)</f>
        <v>1331.3100000000002</v>
      </c>
      <c r="AI18" s="47">
        <f>IFERROR(VLOOKUP($B18,'RA1- Elevated Dumps Upper'!$A$11:$BN$18,MATCH(Summary!AI$1,'RA1- Elevated Dumps Upper'!$A$9:$BN$9,1),FALSE),0)+IFERROR(VLOOKUP($B18,'RA2-Elevated Dumps Slopes'!$A$11:$BN$18,MATCH(Summary!AI$1,'RA2-Elevated Dumps Slopes'!$A$9:$BN$9,1),FALSE),0)+IFERROR(VLOOKUP($B18,'RA3-Backfilled Pits'!$A$11:$BN$18,MATCH(Summary!AI$1,'RA3-Backfilled Pits'!$A$9:$BN$9,1),FALSE),0)+IFERROR(VLOOKUP($B18,'RA4-Tracks_Roads'!$A$11:$BN$18,MATCH(Summary!AI$1,'RA4-Tracks_Roads'!$A$9:$BN$9,1),FALSE),0)+IFERROR(VLOOKUP($B18,'RA5-ROM'!$A$11:$BN$18,MATCH(Summary!AI$1,'RA5-ROM'!$A$9:$BN$9,1),FALSE),0)+IFERROR(VLOOKUP($B18,'RA6-CHPP'!$A$11:$BN$18,MATCH(Summary!AI$1,'RA6-CHPP'!$A$9:$BN$9,1),FALSE),0)+IFERROR(VLOOKUP($B18,'RA7-Mine Infrastructure Area'!$A$11:$BN$18,MATCH(Summary!AI$1,'RA7-Mine Infrastructure Area'!$A$9:$BN$9,1),FALSE),0)+IFERROR(VLOOKUP($B18,'RA8-Water Management Structures'!$A$11:$BN$18,MATCH(Summary!AI$1,'RA8-Water Management Structures'!$A$9:$BN$9,1),FALSE),0)+IFERROR(VLOOKUP($B18,'RA9-Codisposal Upper'!$A$11:$BN$18,MATCH(Summary!AI$1,'RA9-Codisposal Upper'!$A$9:$BN$9,1),FALSE),0)+IFERROR(VLOOKUP($B18,'RA10-Codisposal Slopes'!$A$11:$BN$18,MATCH(Summary!AI$1,'RA10-Codisposal Slopes'!$A$9:$BN$9,1),FALSE),0)+IFERROR(VLOOKUP($B18,'IA1-Final Void inc Ramps'!$A$11:$BN$18,MATCH(Summary!AI$1,'IA1-Final Void inc Ramps'!$A$9:$BN$9,1),FALSE),0)</f>
        <v>1331.3100000000002</v>
      </c>
      <c r="AJ18" s="47">
        <f>IFERROR(VLOOKUP($B18,'RA1- Elevated Dumps Upper'!$A$11:$BN$18,MATCH(Summary!AJ$1,'RA1- Elevated Dumps Upper'!$A$9:$BN$9,1),FALSE),0)+IFERROR(VLOOKUP($B18,'RA2-Elevated Dumps Slopes'!$A$11:$BN$18,MATCH(Summary!AJ$1,'RA2-Elevated Dumps Slopes'!$A$9:$BN$9,1),FALSE),0)+IFERROR(VLOOKUP($B18,'RA3-Backfilled Pits'!$A$11:$BN$18,MATCH(Summary!AJ$1,'RA3-Backfilled Pits'!$A$9:$BN$9,1),FALSE),0)+IFERROR(VLOOKUP($B18,'RA4-Tracks_Roads'!$A$11:$BN$18,MATCH(Summary!AJ$1,'RA4-Tracks_Roads'!$A$9:$BN$9,1),FALSE),0)+IFERROR(VLOOKUP($B18,'RA5-ROM'!$A$11:$BN$18,MATCH(Summary!AJ$1,'RA5-ROM'!$A$9:$BN$9,1),FALSE),0)+IFERROR(VLOOKUP($B18,'RA6-CHPP'!$A$11:$BN$18,MATCH(Summary!AJ$1,'RA6-CHPP'!$A$9:$BN$9,1),FALSE),0)+IFERROR(VLOOKUP($B18,'RA7-Mine Infrastructure Area'!$A$11:$BN$18,MATCH(Summary!AJ$1,'RA7-Mine Infrastructure Area'!$A$9:$BN$9,1),FALSE),0)+IFERROR(VLOOKUP($B18,'RA8-Water Management Structures'!$A$11:$BN$18,MATCH(Summary!AJ$1,'RA8-Water Management Structures'!$A$9:$BN$9,1),FALSE),0)+IFERROR(VLOOKUP($B18,'RA9-Codisposal Upper'!$A$11:$BN$18,MATCH(Summary!AJ$1,'RA9-Codisposal Upper'!$A$9:$BN$9,1),FALSE),0)+IFERROR(VLOOKUP($B18,'RA10-Codisposal Slopes'!$A$11:$BN$18,MATCH(Summary!AJ$1,'RA10-Codisposal Slopes'!$A$9:$BN$9,1),FALSE),0)+IFERROR(VLOOKUP($B18,'IA1-Final Void inc Ramps'!$A$11:$BN$18,MATCH(Summary!AJ$1,'IA1-Final Void inc Ramps'!$A$9:$BN$9,1),FALSE),0)</f>
        <v>1331.3100000000002</v>
      </c>
      <c r="AK18" s="47">
        <f>IFERROR(VLOOKUP($B18,'RA1- Elevated Dumps Upper'!$A$11:$BN$18,MATCH(Summary!AK$1,'RA1- Elevated Dumps Upper'!$A$9:$BN$9,1),FALSE),0)+IFERROR(VLOOKUP($B18,'RA2-Elevated Dumps Slopes'!$A$11:$BN$18,MATCH(Summary!AK$1,'RA2-Elevated Dumps Slopes'!$A$9:$BN$9,1),FALSE),0)+IFERROR(VLOOKUP($B18,'RA3-Backfilled Pits'!$A$11:$BN$18,MATCH(Summary!AK$1,'RA3-Backfilled Pits'!$A$9:$BN$9,1),FALSE),0)+IFERROR(VLOOKUP($B18,'RA4-Tracks_Roads'!$A$11:$BN$18,MATCH(Summary!AK$1,'RA4-Tracks_Roads'!$A$9:$BN$9,1),FALSE),0)+IFERROR(VLOOKUP($B18,'RA5-ROM'!$A$11:$BN$18,MATCH(Summary!AK$1,'RA5-ROM'!$A$9:$BN$9,1),FALSE),0)+IFERROR(VLOOKUP($B18,'RA6-CHPP'!$A$11:$BN$18,MATCH(Summary!AK$1,'RA6-CHPP'!$A$9:$BN$9,1),FALSE),0)+IFERROR(VLOOKUP($B18,'RA7-Mine Infrastructure Area'!$A$11:$BN$18,MATCH(Summary!AK$1,'RA7-Mine Infrastructure Area'!$A$9:$BN$9,1),FALSE),0)+IFERROR(VLOOKUP($B18,'RA8-Water Management Structures'!$A$11:$BN$18,MATCH(Summary!AK$1,'RA8-Water Management Structures'!$A$9:$BN$9,1),FALSE),0)+IFERROR(VLOOKUP($B18,'RA9-Codisposal Upper'!$A$11:$BN$18,MATCH(Summary!AK$1,'RA9-Codisposal Upper'!$A$9:$BN$9,1),FALSE),0)+IFERROR(VLOOKUP($B18,'RA10-Codisposal Slopes'!$A$11:$BN$18,MATCH(Summary!AK$1,'RA10-Codisposal Slopes'!$A$9:$BN$9,1),FALSE),0)+IFERROR(VLOOKUP($B18,'IA1-Final Void inc Ramps'!$A$11:$BN$18,MATCH(Summary!AK$1,'IA1-Final Void inc Ramps'!$A$9:$BN$9,1),FALSE),0)</f>
        <v>1331.3100000000002</v>
      </c>
      <c r="AL18" s="47">
        <f>IFERROR(VLOOKUP($B18,'RA1- Elevated Dumps Upper'!$A$11:$BN$18,MATCH(Summary!AL$1,'RA1- Elevated Dumps Upper'!$A$9:$BN$9,1),FALSE),0)+IFERROR(VLOOKUP($B18,'RA2-Elevated Dumps Slopes'!$A$11:$BN$18,MATCH(Summary!AL$1,'RA2-Elevated Dumps Slopes'!$A$9:$BN$9,1),FALSE),0)+IFERROR(VLOOKUP($B18,'RA3-Backfilled Pits'!$A$11:$BN$18,MATCH(Summary!AL$1,'RA3-Backfilled Pits'!$A$9:$BN$9,1),FALSE),0)+IFERROR(VLOOKUP($B18,'RA4-Tracks_Roads'!$A$11:$BN$18,MATCH(Summary!AL$1,'RA4-Tracks_Roads'!$A$9:$BN$9,1),FALSE),0)+IFERROR(VLOOKUP($B18,'RA5-ROM'!$A$11:$BN$18,MATCH(Summary!AL$1,'RA5-ROM'!$A$9:$BN$9,1),FALSE),0)+IFERROR(VLOOKUP($B18,'RA6-CHPP'!$A$11:$BN$18,MATCH(Summary!AL$1,'RA6-CHPP'!$A$9:$BN$9,1),FALSE),0)+IFERROR(VLOOKUP($B18,'RA7-Mine Infrastructure Area'!$A$11:$BN$18,MATCH(Summary!AL$1,'RA7-Mine Infrastructure Area'!$A$9:$BN$9,1),FALSE),0)+IFERROR(VLOOKUP($B18,'RA8-Water Management Structures'!$A$11:$BN$18,MATCH(Summary!AL$1,'RA8-Water Management Structures'!$A$9:$BN$9,1),FALSE),0)+IFERROR(VLOOKUP($B18,'RA9-Codisposal Upper'!$A$11:$BN$18,MATCH(Summary!AL$1,'RA9-Codisposal Upper'!$A$9:$BN$9,1),FALSE),0)+IFERROR(VLOOKUP($B18,'RA10-Codisposal Slopes'!$A$11:$BN$18,MATCH(Summary!AL$1,'RA10-Codisposal Slopes'!$A$9:$BN$9,1),FALSE),0)+IFERROR(VLOOKUP($B18,'IA1-Final Void inc Ramps'!$A$11:$BN$18,MATCH(Summary!AL$1,'IA1-Final Void inc Ramps'!$A$9:$BN$9,1),FALSE),0)</f>
        <v>1331.3100000000002</v>
      </c>
      <c r="AM18" s="47">
        <f>IFERROR(VLOOKUP($B18,'RA1- Elevated Dumps Upper'!$A$11:$BN$18,MATCH(Summary!AM$1,'RA1- Elevated Dumps Upper'!$A$9:$BN$9,1),FALSE),0)+IFERROR(VLOOKUP($B18,'RA2-Elevated Dumps Slopes'!$A$11:$BN$18,MATCH(Summary!AM$1,'RA2-Elevated Dumps Slopes'!$A$9:$BN$9,1),FALSE),0)+IFERROR(VLOOKUP($B18,'RA3-Backfilled Pits'!$A$11:$BN$18,MATCH(Summary!AM$1,'RA3-Backfilled Pits'!$A$9:$BN$9,1),FALSE),0)+IFERROR(VLOOKUP($B18,'RA4-Tracks_Roads'!$A$11:$BN$18,MATCH(Summary!AM$1,'RA4-Tracks_Roads'!$A$9:$BN$9,1),FALSE),0)+IFERROR(VLOOKUP($B18,'RA5-ROM'!$A$11:$BN$18,MATCH(Summary!AM$1,'RA5-ROM'!$A$9:$BN$9,1),FALSE),0)+IFERROR(VLOOKUP($B18,'RA6-CHPP'!$A$11:$BN$18,MATCH(Summary!AM$1,'RA6-CHPP'!$A$9:$BN$9,1),FALSE),0)+IFERROR(VLOOKUP($B18,'RA7-Mine Infrastructure Area'!$A$11:$BN$18,MATCH(Summary!AM$1,'RA7-Mine Infrastructure Area'!$A$9:$BN$9,1),FALSE),0)+IFERROR(VLOOKUP($B18,'RA8-Water Management Structures'!$A$11:$BN$18,MATCH(Summary!AM$1,'RA8-Water Management Structures'!$A$9:$BN$9,1),FALSE),0)+IFERROR(VLOOKUP($B18,'RA9-Codisposal Upper'!$A$11:$BN$18,MATCH(Summary!AM$1,'RA9-Codisposal Upper'!$A$9:$BN$9,1),FALSE),0)+IFERROR(VLOOKUP($B18,'RA10-Codisposal Slopes'!$A$11:$BN$18,MATCH(Summary!AM$1,'RA10-Codisposal Slopes'!$A$9:$BN$9,1),FALSE),0)+IFERROR(VLOOKUP($B18,'IA1-Final Void inc Ramps'!$A$11:$BN$18,MATCH(Summary!AM$1,'IA1-Final Void inc Ramps'!$A$9:$BN$9,1),FALSE),0)</f>
        <v>1331.3100000000002</v>
      </c>
      <c r="AN18" s="47">
        <f>IFERROR(VLOOKUP($B18,'RA1- Elevated Dumps Upper'!$A$11:$BN$18,MATCH(Summary!AN$1,'RA1- Elevated Dumps Upper'!$A$9:$BN$9,1),FALSE),0)+IFERROR(VLOOKUP($B18,'RA2-Elevated Dumps Slopes'!$A$11:$BN$18,MATCH(Summary!AN$1,'RA2-Elevated Dumps Slopes'!$A$9:$BN$9,1),FALSE),0)+IFERROR(VLOOKUP($B18,'RA3-Backfilled Pits'!$A$11:$BN$18,MATCH(Summary!AN$1,'RA3-Backfilled Pits'!$A$9:$BN$9,1),FALSE),0)+IFERROR(VLOOKUP($B18,'RA4-Tracks_Roads'!$A$11:$BN$18,MATCH(Summary!AN$1,'RA4-Tracks_Roads'!$A$9:$BN$9,1),FALSE),0)+IFERROR(VLOOKUP($B18,'RA5-ROM'!$A$11:$BN$18,MATCH(Summary!AN$1,'RA5-ROM'!$A$9:$BN$9,1),FALSE),0)+IFERROR(VLOOKUP($B18,'RA6-CHPP'!$A$11:$BN$18,MATCH(Summary!AN$1,'RA6-CHPP'!$A$9:$BN$9,1),FALSE),0)+IFERROR(VLOOKUP($B18,'RA7-Mine Infrastructure Area'!$A$11:$BN$18,MATCH(Summary!AN$1,'RA7-Mine Infrastructure Area'!$A$9:$BN$9,1),FALSE),0)+IFERROR(VLOOKUP($B18,'RA8-Water Management Structures'!$A$11:$BN$18,MATCH(Summary!AN$1,'RA8-Water Management Structures'!$A$9:$BN$9,1),FALSE),0)+IFERROR(VLOOKUP($B18,'RA9-Codisposal Upper'!$A$11:$BN$18,MATCH(Summary!AN$1,'RA9-Codisposal Upper'!$A$9:$BN$9,1),FALSE),0)+IFERROR(VLOOKUP($B18,'RA10-Codisposal Slopes'!$A$11:$BN$18,MATCH(Summary!AN$1,'RA10-Codisposal Slopes'!$A$9:$BN$9,1),FALSE),0)+IFERROR(VLOOKUP($B18,'IA1-Final Void inc Ramps'!$A$11:$BN$18,MATCH(Summary!AN$1,'IA1-Final Void inc Ramps'!$A$9:$BN$9,1),FALSE),0)</f>
        <v>1331.3100000000002</v>
      </c>
      <c r="AO18" s="47">
        <f>IFERROR(VLOOKUP($B18,'RA1- Elevated Dumps Upper'!$A$11:$BN$18,MATCH(Summary!AO$1,'RA1- Elevated Dumps Upper'!$A$9:$BN$9,1),FALSE),0)+IFERROR(VLOOKUP($B18,'RA2-Elevated Dumps Slopes'!$A$11:$BN$18,MATCH(Summary!AO$1,'RA2-Elevated Dumps Slopes'!$A$9:$BN$9,1),FALSE),0)+IFERROR(VLOOKUP($B18,'RA3-Backfilled Pits'!$A$11:$BN$18,MATCH(Summary!AO$1,'RA3-Backfilled Pits'!$A$9:$BN$9,1),FALSE),0)+IFERROR(VLOOKUP($B18,'RA4-Tracks_Roads'!$A$11:$BN$18,MATCH(Summary!AO$1,'RA4-Tracks_Roads'!$A$9:$BN$9,1),FALSE),0)+IFERROR(VLOOKUP($B18,'RA5-ROM'!$A$11:$BN$18,MATCH(Summary!AO$1,'RA5-ROM'!$A$9:$BN$9,1),FALSE),0)+IFERROR(VLOOKUP($B18,'RA6-CHPP'!$A$11:$BN$18,MATCH(Summary!AO$1,'RA6-CHPP'!$A$9:$BN$9,1),FALSE),0)+IFERROR(VLOOKUP($B18,'RA7-Mine Infrastructure Area'!$A$11:$BN$18,MATCH(Summary!AO$1,'RA7-Mine Infrastructure Area'!$A$9:$BN$9,1),FALSE),0)+IFERROR(VLOOKUP($B18,'RA8-Water Management Structures'!$A$11:$BN$18,MATCH(Summary!AO$1,'RA8-Water Management Structures'!$A$9:$BN$9,1),FALSE),0)+IFERROR(VLOOKUP($B18,'RA9-Codisposal Upper'!$A$11:$BN$18,MATCH(Summary!AO$1,'RA9-Codisposal Upper'!$A$9:$BN$9,1),FALSE),0)+IFERROR(VLOOKUP($B18,'RA10-Codisposal Slopes'!$A$11:$BN$18,MATCH(Summary!AO$1,'RA10-Codisposal Slopes'!$A$9:$BN$9,1),FALSE),0)+IFERROR(VLOOKUP($B18,'IA1-Final Void inc Ramps'!$A$11:$BN$18,MATCH(Summary!AO$1,'IA1-Final Void inc Ramps'!$A$9:$BN$9,1),FALSE),0)</f>
        <v>1331.3100000000002</v>
      </c>
      <c r="AP18" s="47">
        <f>IFERROR(VLOOKUP($B18,'RA1- Elevated Dumps Upper'!$A$11:$BN$18,MATCH(Summary!AP$1,'RA1- Elevated Dumps Upper'!$A$9:$BN$9,1),FALSE),0)+IFERROR(VLOOKUP($B18,'RA2-Elevated Dumps Slopes'!$A$11:$BN$18,MATCH(Summary!AP$1,'RA2-Elevated Dumps Slopes'!$A$9:$BN$9,1),FALSE),0)+IFERROR(VLOOKUP($B18,'RA3-Backfilled Pits'!$A$11:$BN$18,MATCH(Summary!AP$1,'RA3-Backfilled Pits'!$A$9:$BN$9,1),FALSE),0)+IFERROR(VLOOKUP($B18,'RA4-Tracks_Roads'!$A$11:$BN$18,MATCH(Summary!AP$1,'RA4-Tracks_Roads'!$A$9:$BN$9,1),FALSE),0)+IFERROR(VLOOKUP($B18,'RA5-ROM'!$A$11:$BN$18,MATCH(Summary!AP$1,'RA5-ROM'!$A$9:$BN$9,1),FALSE),0)+IFERROR(VLOOKUP($B18,'RA6-CHPP'!$A$11:$BN$18,MATCH(Summary!AP$1,'RA6-CHPP'!$A$9:$BN$9,1),FALSE),0)+IFERROR(VLOOKUP($B18,'RA7-Mine Infrastructure Area'!$A$11:$BN$18,MATCH(Summary!AP$1,'RA7-Mine Infrastructure Area'!$A$9:$BN$9,1),FALSE),0)+IFERROR(VLOOKUP($B18,'RA8-Water Management Structures'!$A$11:$BN$18,MATCH(Summary!AP$1,'RA8-Water Management Structures'!$A$9:$BN$9,1),FALSE),0)+IFERROR(VLOOKUP($B18,'RA9-Codisposal Upper'!$A$11:$BN$18,MATCH(Summary!AP$1,'RA9-Codisposal Upper'!$A$9:$BN$9,1),FALSE),0)+IFERROR(VLOOKUP($B18,'RA10-Codisposal Slopes'!$A$11:$BN$18,MATCH(Summary!AP$1,'RA10-Codisposal Slopes'!$A$9:$BN$9,1),FALSE),0)+IFERROR(VLOOKUP($B18,'IA1-Final Void inc Ramps'!$A$11:$BN$18,MATCH(Summary!AP$1,'IA1-Final Void inc Ramps'!$A$9:$BN$9,1),FALSE),0)</f>
        <v>1331.3100000000002</v>
      </c>
      <c r="AQ18" s="47">
        <f>IFERROR(VLOOKUP($B18,'RA1- Elevated Dumps Upper'!$A$11:$BN$18,MATCH(Summary!AQ$1,'RA1- Elevated Dumps Upper'!$A$9:$BN$9,1),FALSE),0)+IFERROR(VLOOKUP($B18,'RA2-Elevated Dumps Slopes'!$A$11:$BN$18,MATCH(Summary!AQ$1,'RA2-Elevated Dumps Slopes'!$A$9:$BN$9,1),FALSE),0)+IFERROR(VLOOKUP($B18,'RA3-Backfilled Pits'!$A$11:$BN$18,MATCH(Summary!AQ$1,'RA3-Backfilled Pits'!$A$9:$BN$9,1),FALSE),0)+IFERROR(VLOOKUP($B18,'RA4-Tracks_Roads'!$A$11:$BN$18,MATCH(Summary!AQ$1,'RA4-Tracks_Roads'!$A$9:$BN$9,1),FALSE),0)+IFERROR(VLOOKUP($B18,'RA5-ROM'!$A$11:$BN$18,MATCH(Summary!AQ$1,'RA5-ROM'!$A$9:$BN$9,1),FALSE),0)+IFERROR(VLOOKUP($B18,'RA6-CHPP'!$A$11:$BN$18,MATCH(Summary!AQ$1,'RA6-CHPP'!$A$9:$BN$9,1),FALSE),0)+IFERROR(VLOOKUP($B18,'RA7-Mine Infrastructure Area'!$A$11:$BN$18,MATCH(Summary!AQ$1,'RA7-Mine Infrastructure Area'!$A$9:$BN$9,1),FALSE),0)+IFERROR(VLOOKUP($B18,'RA8-Water Management Structures'!$A$11:$BN$18,MATCH(Summary!AQ$1,'RA8-Water Management Structures'!$A$9:$BN$9,1),FALSE),0)+IFERROR(VLOOKUP($B18,'RA9-Codisposal Upper'!$A$11:$BN$18,MATCH(Summary!AQ$1,'RA9-Codisposal Upper'!$A$9:$BN$9,1),FALSE),0)+IFERROR(VLOOKUP($B18,'RA10-Codisposal Slopes'!$A$11:$BN$18,MATCH(Summary!AQ$1,'RA10-Codisposal Slopes'!$A$9:$BN$9,1),FALSE),0)+IFERROR(VLOOKUP($B18,'IA1-Final Void inc Ramps'!$A$11:$BN$18,MATCH(Summary!AQ$1,'IA1-Final Void inc Ramps'!$A$9:$BN$9,1),FALSE),0)</f>
        <v>1331.3100000000002</v>
      </c>
      <c r="AR18" s="47">
        <f>IFERROR(VLOOKUP($B18,'RA1- Elevated Dumps Upper'!$A$11:$BN$18,MATCH(Summary!AR$1,'RA1- Elevated Dumps Upper'!$A$9:$BN$9,1),FALSE),0)+IFERROR(VLOOKUP($B18,'RA2-Elevated Dumps Slopes'!$A$11:$BN$18,MATCH(Summary!AR$1,'RA2-Elevated Dumps Slopes'!$A$9:$BN$9,1),FALSE),0)+IFERROR(VLOOKUP($B18,'RA3-Backfilled Pits'!$A$11:$BN$18,MATCH(Summary!AR$1,'RA3-Backfilled Pits'!$A$9:$BN$9,1),FALSE),0)+IFERROR(VLOOKUP($B18,'RA4-Tracks_Roads'!$A$11:$BN$18,MATCH(Summary!AR$1,'RA4-Tracks_Roads'!$A$9:$BN$9,1),FALSE),0)+IFERROR(VLOOKUP($B18,'RA5-ROM'!$A$11:$BN$18,MATCH(Summary!AR$1,'RA5-ROM'!$A$9:$BN$9,1),FALSE),0)+IFERROR(VLOOKUP($B18,'RA6-CHPP'!$A$11:$BN$18,MATCH(Summary!AR$1,'RA6-CHPP'!$A$9:$BN$9,1),FALSE),0)+IFERROR(VLOOKUP($B18,'RA7-Mine Infrastructure Area'!$A$11:$BN$18,MATCH(Summary!AR$1,'RA7-Mine Infrastructure Area'!$A$9:$BN$9,1),FALSE),0)+IFERROR(VLOOKUP($B18,'RA8-Water Management Structures'!$A$11:$BN$18,MATCH(Summary!AR$1,'RA8-Water Management Structures'!$A$9:$BN$9,1),FALSE),0)+IFERROR(VLOOKUP($B18,'RA9-Codisposal Upper'!$A$11:$BN$18,MATCH(Summary!AR$1,'RA9-Codisposal Upper'!$A$9:$BN$9,1),FALSE),0)+IFERROR(VLOOKUP($B18,'RA10-Codisposal Slopes'!$A$11:$BN$18,MATCH(Summary!AR$1,'RA10-Codisposal Slopes'!$A$9:$BN$9,1),FALSE),0)+IFERROR(VLOOKUP($B18,'IA1-Final Void inc Ramps'!$A$11:$BN$18,MATCH(Summary!AR$1,'IA1-Final Void inc Ramps'!$A$9:$BN$9,1),FALSE),0)</f>
        <v>1331.3100000000002</v>
      </c>
      <c r="AS18" s="47">
        <f>IFERROR(VLOOKUP($B18,'RA1- Elevated Dumps Upper'!$A$11:$BN$18,MATCH(Summary!AS$1,'RA1- Elevated Dumps Upper'!$A$9:$BN$9,1),FALSE),0)+IFERROR(VLOOKUP($B18,'RA2-Elevated Dumps Slopes'!$A$11:$BN$18,MATCH(Summary!AS$1,'RA2-Elevated Dumps Slopes'!$A$9:$BN$9,1),FALSE),0)+IFERROR(VLOOKUP($B18,'RA3-Backfilled Pits'!$A$11:$BN$18,MATCH(Summary!AS$1,'RA3-Backfilled Pits'!$A$9:$BN$9,1),FALSE),0)+IFERROR(VLOOKUP($B18,'RA4-Tracks_Roads'!$A$11:$BN$18,MATCH(Summary!AS$1,'RA4-Tracks_Roads'!$A$9:$BN$9,1),FALSE),0)+IFERROR(VLOOKUP($B18,'RA5-ROM'!$A$11:$BN$18,MATCH(Summary!AS$1,'RA5-ROM'!$A$9:$BN$9,1),FALSE),0)+IFERROR(VLOOKUP($B18,'RA6-CHPP'!$A$11:$BN$18,MATCH(Summary!AS$1,'RA6-CHPP'!$A$9:$BN$9,1),FALSE),0)+IFERROR(VLOOKUP($B18,'RA7-Mine Infrastructure Area'!$A$11:$BN$18,MATCH(Summary!AS$1,'RA7-Mine Infrastructure Area'!$A$9:$BN$9,1),FALSE),0)+IFERROR(VLOOKUP($B18,'RA8-Water Management Structures'!$A$11:$BN$18,MATCH(Summary!AS$1,'RA8-Water Management Structures'!$A$9:$BN$9,1),FALSE),0)+IFERROR(VLOOKUP($B18,'RA9-Codisposal Upper'!$A$11:$BN$18,MATCH(Summary!AS$1,'RA9-Codisposal Upper'!$A$9:$BN$9,1),FALSE),0)+IFERROR(VLOOKUP($B18,'RA10-Codisposal Slopes'!$A$11:$BN$18,MATCH(Summary!AS$1,'RA10-Codisposal Slopes'!$A$9:$BN$9,1),FALSE),0)+IFERROR(VLOOKUP($B18,'IA1-Final Void inc Ramps'!$A$11:$BN$18,MATCH(Summary!AS$1,'IA1-Final Void inc Ramps'!$A$9:$BN$9,1),FALSE),0)</f>
        <v>1331.3100000000002</v>
      </c>
      <c r="AT18" s="47">
        <f>IFERROR(VLOOKUP($B18,'RA1- Elevated Dumps Upper'!$A$11:$BN$18,MATCH(Summary!AT$1,'RA1- Elevated Dumps Upper'!$A$9:$BN$9,1),FALSE),0)+IFERROR(VLOOKUP($B18,'RA2-Elevated Dumps Slopes'!$A$11:$BN$18,MATCH(Summary!AT$1,'RA2-Elevated Dumps Slopes'!$A$9:$BN$9,1),FALSE),0)+IFERROR(VLOOKUP($B18,'RA3-Backfilled Pits'!$A$11:$BN$18,MATCH(Summary!AT$1,'RA3-Backfilled Pits'!$A$9:$BN$9,1),FALSE),0)+IFERROR(VLOOKUP($B18,'RA4-Tracks_Roads'!$A$11:$BN$18,MATCH(Summary!AT$1,'RA4-Tracks_Roads'!$A$9:$BN$9,1),FALSE),0)+IFERROR(VLOOKUP($B18,'RA5-ROM'!$A$11:$BN$18,MATCH(Summary!AT$1,'RA5-ROM'!$A$9:$BN$9,1),FALSE),0)+IFERROR(VLOOKUP($B18,'RA6-CHPP'!$A$11:$BN$18,MATCH(Summary!AT$1,'RA6-CHPP'!$A$9:$BN$9,1),FALSE),0)+IFERROR(VLOOKUP($B18,'RA7-Mine Infrastructure Area'!$A$11:$BN$18,MATCH(Summary!AT$1,'RA7-Mine Infrastructure Area'!$A$9:$BN$9,1),FALSE),0)+IFERROR(VLOOKUP($B18,'RA8-Water Management Structures'!$A$11:$BN$18,MATCH(Summary!AT$1,'RA8-Water Management Structures'!$A$9:$BN$9,1),FALSE),0)+IFERROR(VLOOKUP($B18,'RA9-Codisposal Upper'!$A$11:$BN$18,MATCH(Summary!AT$1,'RA9-Codisposal Upper'!$A$9:$BN$9,1),FALSE),0)+IFERROR(VLOOKUP($B18,'RA10-Codisposal Slopes'!$A$11:$BN$18,MATCH(Summary!AT$1,'RA10-Codisposal Slopes'!$A$9:$BN$9,1),FALSE),0)+IFERROR(VLOOKUP($B18,'IA1-Final Void inc Ramps'!$A$11:$BN$18,MATCH(Summary!AT$1,'IA1-Final Void inc Ramps'!$A$9:$BN$9,1),FALSE),0)</f>
        <v>1331.3100000000002</v>
      </c>
      <c r="AU18" s="47">
        <f>IFERROR(VLOOKUP($B18,'RA1- Elevated Dumps Upper'!$A$11:$BN$18,MATCH(Summary!AU$1,'RA1- Elevated Dumps Upper'!$A$9:$BN$9,1),FALSE),0)+IFERROR(VLOOKUP($B18,'RA2-Elevated Dumps Slopes'!$A$11:$BN$18,MATCH(Summary!AU$1,'RA2-Elevated Dumps Slopes'!$A$9:$BN$9,1),FALSE),0)+IFERROR(VLOOKUP($B18,'RA3-Backfilled Pits'!$A$11:$BN$18,MATCH(Summary!AU$1,'RA3-Backfilled Pits'!$A$9:$BN$9,1),FALSE),0)+IFERROR(VLOOKUP($B18,'RA4-Tracks_Roads'!$A$11:$BN$18,MATCH(Summary!AU$1,'RA4-Tracks_Roads'!$A$9:$BN$9,1),FALSE),0)+IFERROR(VLOOKUP($B18,'RA5-ROM'!$A$11:$BN$18,MATCH(Summary!AU$1,'RA5-ROM'!$A$9:$BN$9,1),FALSE),0)+IFERROR(VLOOKUP($B18,'RA6-CHPP'!$A$11:$BN$18,MATCH(Summary!AU$1,'RA6-CHPP'!$A$9:$BN$9,1),FALSE),0)+IFERROR(VLOOKUP($B18,'RA7-Mine Infrastructure Area'!$A$11:$BN$18,MATCH(Summary!AU$1,'RA7-Mine Infrastructure Area'!$A$9:$BN$9,1),FALSE),0)+IFERROR(VLOOKUP($B18,'RA8-Water Management Structures'!$A$11:$BN$18,MATCH(Summary!AU$1,'RA8-Water Management Structures'!$A$9:$BN$9,1),FALSE),0)+IFERROR(VLOOKUP($B18,'RA9-Codisposal Upper'!$A$11:$BN$18,MATCH(Summary!AU$1,'RA9-Codisposal Upper'!$A$9:$BN$9,1),FALSE),0)+IFERROR(VLOOKUP($B18,'RA10-Codisposal Slopes'!$A$11:$BN$18,MATCH(Summary!AU$1,'RA10-Codisposal Slopes'!$A$9:$BN$9,1),FALSE),0)+IFERROR(VLOOKUP($B18,'IA1-Final Void inc Ramps'!$A$11:$BN$18,MATCH(Summary!AU$1,'IA1-Final Void inc Ramps'!$A$9:$BN$9,1),FALSE),0)</f>
        <v>1331.3100000000002</v>
      </c>
      <c r="AV18" s="47">
        <f>IFERROR(VLOOKUP($B18,'RA1- Elevated Dumps Upper'!$A$11:$BN$18,MATCH(Summary!AV$1,'RA1- Elevated Dumps Upper'!$A$9:$BN$9,1),FALSE),0)+IFERROR(VLOOKUP($B18,'RA2-Elevated Dumps Slopes'!$A$11:$BN$18,MATCH(Summary!AV$1,'RA2-Elevated Dumps Slopes'!$A$9:$BN$9,1),FALSE),0)+IFERROR(VLOOKUP($B18,'RA3-Backfilled Pits'!$A$11:$BN$18,MATCH(Summary!AV$1,'RA3-Backfilled Pits'!$A$9:$BN$9,1),FALSE),0)+IFERROR(VLOOKUP($B18,'RA4-Tracks_Roads'!$A$11:$BN$18,MATCH(Summary!AV$1,'RA4-Tracks_Roads'!$A$9:$BN$9,1),FALSE),0)+IFERROR(VLOOKUP($B18,'RA5-ROM'!$A$11:$BN$18,MATCH(Summary!AV$1,'RA5-ROM'!$A$9:$BN$9,1),FALSE),0)+IFERROR(VLOOKUP($B18,'RA6-CHPP'!$A$11:$BN$18,MATCH(Summary!AV$1,'RA6-CHPP'!$A$9:$BN$9,1),FALSE),0)+IFERROR(VLOOKUP($B18,'RA7-Mine Infrastructure Area'!$A$11:$BN$18,MATCH(Summary!AV$1,'RA7-Mine Infrastructure Area'!$A$9:$BN$9,1),FALSE),0)+IFERROR(VLOOKUP($B18,'RA8-Water Management Structures'!$A$11:$BN$18,MATCH(Summary!AV$1,'RA8-Water Management Structures'!$A$9:$BN$9,1),FALSE),0)+IFERROR(VLOOKUP($B18,'RA9-Codisposal Upper'!$A$11:$BN$18,MATCH(Summary!AV$1,'RA9-Codisposal Upper'!$A$9:$BN$9,1),FALSE),0)+IFERROR(VLOOKUP($B18,'RA10-Codisposal Slopes'!$A$11:$BN$18,MATCH(Summary!AV$1,'RA10-Codisposal Slopes'!$A$9:$BN$9,1),FALSE),0)+IFERROR(VLOOKUP($B18,'IA1-Final Void inc Ramps'!$A$11:$BN$18,MATCH(Summary!AV$1,'IA1-Final Void inc Ramps'!$A$9:$BN$9,1),FALSE),0)</f>
        <v>1331.3100000000002</v>
      </c>
      <c r="AW18" s="47">
        <f>IFERROR(VLOOKUP($B18,'RA1- Elevated Dumps Upper'!$A$11:$BN$18,MATCH(Summary!AW$1,'RA1- Elevated Dumps Upper'!$A$9:$BN$9,1),FALSE),0)+IFERROR(VLOOKUP($B18,'RA2-Elevated Dumps Slopes'!$A$11:$BN$18,MATCH(Summary!AW$1,'RA2-Elevated Dumps Slopes'!$A$9:$BN$9,1),FALSE),0)+IFERROR(VLOOKUP($B18,'RA3-Backfilled Pits'!$A$11:$BN$18,MATCH(Summary!AW$1,'RA3-Backfilled Pits'!$A$9:$BN$9,1),FALSE),0)+IFERROR(VLOOKUP($B18,'RA4-Tracks_Roads'!$A$11:$BN$18,MATCH(Summary!AW$1,'RA4-Tracks_Roads'!$A$9:$BN$9,1),FALSE),0)+IFERROR(VLOOKUP($B18,'RA5-ROM'!$A$11:$BN$18,MATCH(Summary!AW$1,'RA5-ROM'!$A$9:$BN$9,1),FALSE),0)+IFERROR(VLOOKUP($B18,'RA6-CHPP'!$A$11:$BN$18,MATCH(Summary!AW$1,'RA6-CHPP'!$A$9:$BN$9,1),FALSE),0)+IFERROR(VLOOKUP($B18,'RA7-Mine Infrastructure Area'!$A$11:$BN$18,MATCH(Summary!AW$1,'RA7-Mine Infrastructure Area'!$A$9:$BN$9,1),FALSE),0)+IFERROR(VLOOKUP($B18,'RA8-Water Management Structures'!$A$11:$BN$18,MATCH(Summary!AW$1,'RA8-Water Management Structures'!$A$9:$BN$9,1),FALSE),0)+IFERROR(VLOOKUP($B18,'RA9-Codisposal Upper'!$A$11:$BN$18,MATCH(Summary!AW$1,'RA9-Codisposal Upper'!$A$9:$BN$9,1),FALSE),0)+IFERROR(VLOOKUP($B18,'RA10-Codisposal Slopes'!$A$11:$BN$18,MATCH(Summary!AW$1,'RA10-Codisposal Slopes'!$A$9:$BN$9,1),FALSE),0)+IFERROR(VLOOKUP($B18,'IA1-Final Void inc Ramps'!$A$11:$BN$18,MATCH(Summary!AW$1,'IA1-Final Void inc Ramps'!$A$9:$BN$9,1),FALSE),0)</f>
        <v>1331.3100000000002</v>
      </c>
      <c r="AX18" s="47">
        <f>IFERROR(VLOOKUP($B18,'RA1- Elevated Dumps Upper'!$A$11:$BN$18,MATCH(Summary!AX$1,'RA1- Elevated Dumps Upper'!$A$9:$BN$9,1),FALSE),0)+IFERROR(VLOOKUP($B18,'RA2-Elevated Dumps Slopes'!$A$11:$BN$18,MATCH(Summary!AX$1,'RA2-Elevated Dumps Slopes'!$A$9:$BN$9,1),FALSE),0)+IFERROR(VLOOKUP($B18,'RA3-Backfilled Pits'!$A$11:$BN$18,MATCH(Summary!AX$1,'RA3-Backfilled Pits'!$A$9:$BN$9,1),FALSE),0)+IFERROR(VLOOKUP($B18,'RA4-Tracks_Roads'!$A$11:$BN$18,MATCH(Summary!AX$1,'RA4-Tracks_Roads'!$A$9:$BN$9,1),FALSE),0)+IFERROR(VLOOKUP($B18,'RA5-ROM'!$A$11:$BN$18,MATCH(Summary!AX$1,'RA5-ROM'!$A$9:$BN$9,1),FALSE),0)+IFERROR(VLOOKUP($B18,'RA6-CHPP'!$A$11:$BN$18,MATCH(Summary!AX$1,'RA6-CHPP'!$A$9:$BN$9,1),FALSE),0)+IFERROR(VLOOKUP($B18,'RA7-Mine Infrastructure Area'!$A$11:$BN$18,MATCH(Summary!AX$1,'RA7-Mine Infrastructure Area'!$A$9:$BN$9,1),FALSE),0)+IFERROR(VLOOKUP($B18,'RA8-Water Management Structures'!$A$11:$BN$18,MATCH(Summary!AX$1,'RA8-Water Management Structures'!$A$9:$BN$9,1),FALSE),0)+IFERROR(VLOOKUP($B18,'RA9-Codisposal Upper'!$A$11:$BN$18,MATCH(Summary!AX$1,'RA9-Codisposal Upper'!$A$9:$BN$9,1),FALSE),0)+IFERROR(VLOOKUP($B18,'RA10-Codisposal Slopes'!$A$11:$BN$18,MATCH(Summary!AX$1,'RA10-Codisposal Slopes'!$A$9:$BN$9,1),FALSE),0)+IFERROR(VLOOKUP($B18,'IA1-Final Void inc Ramps'!$A$11:$BN$18,MATCH(Summary!AX$1,'IA1-Final Void inc Ramps'!$A$9:$BN$9,1),FALSE),0)</f>
        <v>1331.3100000000002</v>
      </c>
      <c r="AY18" s="47">
        <f>IFERROR(VLOOKUP($B18,'RA1- Elevated Dumps Upper'!$A$11:$BN$18,MATCH(Summary!AY$1,'RA1- Elevated Dumps Upper'!$A$9:$BN$9,1),FALSE),0)+IFERROR(VLOOKUP($B18,'RA2-Elevated Dumps Slopes'!$A$11:$BN$18,MATCH(Summary!AY$1,'RA2-Elevated Dumps Slopes'!$A$9:$BN$9,1),FALSE),0)+IFERROR(VLOOKUP($B18,'RA3-Backfilled Pits'!$A$11:$BN$18,MATCH(Summary!AY$1,'RA3-Backfilled Pits'!$A$9:$BN$9,1),FALSE),0)+IFERROR(VLOOKUP($B18,'RA4-Tracks_Roads'!$A$11:$BN$18,MATCH(Summary!AY$1,'RA4-Tracks_Roads'!$A$9:$BN$9,1),FALSE),0)+IFERROR(VLOOKUP($B18,'RA5-ROM'!$A$11:$BN$18,MATCH(Summary!AY$1,'RA5-ROM'!$A$9:$BN$9,1),FALSE),0)+IFERROR(VLOOKUP($B18,'RA6-CHPP'!$A$11:$BN$18,MATCH(Summary!AY$1,'RA6-CHPP'!$A$9:$BN$9,1),FALSE),0)+IFERROR(VLOOKUP($B18,'RA7-Mine Infrastructure Area'!$A$11:$BN$18,MATCH(Summary!AY$1,'RA7-Mine Infrastructure Area'!$A$9:$BN$9,1),FALSE),0)+IFERROR(VLOOKUP($B18,'RA8-Water Management Structures'!$A$11:$BN$18,MATCH(Summary!AY$1,'RA8-Water Management Structures'!$A$9:$BN$9,1),FALSE),0)+IFERROR(VLOOKUP($B18,'RA9-Codisposal Upper'!$A$11:$BN$18,MATCH(Summary!AY$1,'RA9-Codisposal Upper'!$A$9:$BN$9,1),FALSE),0)+IFERROR(VLOOKUP($B18,'RA10-Codisposal Slopes'!$A$11:$BN$18,MATCH(Summary!AY$1,'RA10-Codisposal Slopes'!$A$9:$BN$9,1),FALSE),0)+IFERROR(VLOOKUP($B18,'IA1-Final Void inc Ramps'!$A$11:$BN$18,MATCH(Summary!AY$1,'IA1-Final Void inc Ramps'!$A$9:$BN$9,1),FALSE),0)</f>
        <v>1331.3100000000002</v>
      </c>
      <c r="AZ18" s="47">
        <f>IFERROR(VLOOKUP($B18,'RA1- Elevated Dumps Upper'!$A$11:$BN$18,MATCH(Summary!AZ$1,'RA1- Elevated Dumps Upper'!$A$9:$BN$9,1),FALSE),0)+IFERROR(VLOOKUP($B18,'RA2-Elevated Dumps Slopes'!$A$11:$BN$18,MATCH(Summary!AZ$1,'RA2-Elevated Dumps Slopes'!$A$9:$BN$9,1),FALSE),0)+IFERROR(VLOOKUP($B18,'RA3-Backfilled Pits'!$A$11:$BN$18,MATCH(Summary!AZ$1,'RA3-Backfilled Pits'!$A$9:$BN$9,1),FALSE),0)+IFERROR(VLOOKUP($B18,'RA4-Tracks_Roads'!$A$11:$BN$18,MATCH(Summary!AZ$1,'RA4-Tracks_Roads'!$A$9:$BN$9,1),FALSE),0)+IFERROR(VLOOKUP($B18,'RA5-ROM'!$A$11:$BN$18,MATCH(Summary!AZ$1,'RA5-ROM'!$A$9:$BN$9,1),FALSE),0)+IFERROR(VLOOKUP($B18,'RA6-CHPP'!$A$11:$BN$18,MATCH(Summary!AZ$1,'RA6-CHPP'!$A$9:$BN$9,1),FALSE),0)+IFERROR(VLOOKUP($B18,'RA7-Mine Infrastructure Area'!$A$11:$BN$18,MATCH(Summary!AZ$1,'RA7-Mine Infrastructure Area'!$A$9:$BN$9,1),FALSE),0)+IFERROR(VLOOKUP($B18,'RA8-Water Management Structures'!$A$11:$BN$18,MATCH(Summary!AZ$1,'RA8-Water Management Structures'!$A$9:$BN$9,1),FALSE),0)+IFERROR(VLOOKUP($B18,'RA9-Codisposal Upper'!$A$11:$BN$18,MATCH(Summary!AZ$1,'RA9-Codisposal Upper'!$A$9:$BN$9,1),FALSE),0)+IFERROR(VLOOKUP($B18,'RA10-Codisposal Slopes'!$A$11:$BN$18,MATCH(Summary!AZ$1,'RA10-Codisposal Slopes'!$A$9:$BN$9,1),FALSE),0)+IFERROR(VLOOKUP($B18,'IA1-Final Void inc Ramps'!$A$11:$BN$18,MATCH(Summary!AZ$1,'IA1-Final Void inc Ramps'!$A$9:$BN$9,1),FALSE),0)</f>
        <v>1331.3100000000002</v>
      </c>
      <c r="BA18" s="47">
        <f>IFERROR(VLOOKUP($B18,'RA1- Elevated Dumps Upper'!$A$11:$BN$18,MATCH(Summary!BA$1,'RA1- Elevated Dumps Upper'!$A$9:$BN$9,1),FALSE),0)+IFERROR(VLOOKUP($B18,'RA2-Elevated Dumps Slopes'!$A$11:$BN$18,MATCH(Summary!BA$1,'RA2-Elevated Dumps Slopes'!$A$9:$BN$9,1),FALSE),0)+IFERROR(VLOOKUP($B18,'RA3-Backfilled Pits'!$A$11:$BN$18,MATCH(Summary!BA$1,'RA3-Backfilled Pits'!$A$9:$BN$9,1),FALSE),0)+IFERROR(VLOOKUP($B18,'RA4-Tracks_Roads'!$A$11:$BN$18,MATCH(Summary!BA$1,'RA4-Tracks_Roads'!$A$9:$BN$9,1),FALSE),0)+IFERROR(VLOOKUP($B18,'RA5-ROM'!$A$11:$BN$18,MATCH(Summary!BA$1,'RA5-ROM'!$A$9:$BN$9,1),FALSE),0)+IFERROR(VLOOKUP($B18,'RA6-CHPP'!$A$11:$BN$18,MATCH(Summary!BA$1,'RA6-CHPP'!$A$9:$BN$9,1),FALSE),0)+IFERROR(VLOOKUP($B18,'RA7-Mine Infrastructure Area'!$A$11:$BN$18,MATCH(Summary!BA$1,'RA7-Mine Infrastructure Area'!$A$9:$BN$9,1),FALSE),0)+IFERROR(VLOOKUP($B18,'RA8-Water Management Structures'!$A$11:$BN$18,MATCH(Summary!BA$1,'RA8-Water Management Structures'!$A$9:$BN$9,1),FALSE),0)+IFERROR(VLOOKUP($B18,'RA9-Codisposal Upper'!$A$11:$BN$18,MATCH(Summary!BA$1,'RA9-Codisposal Upper'!$A$9:$BN$9,1),FALSE),0)+IFERROR(VLOOKUP($B18,'RA10-Codisposal Slopes'!$A$11:$BN$18,MATCH(Summary!BA$1,'RA10-Codisposal Slopes'!$A$9:$BN$9,1),FALSE),0)+IFERROR(VLOOKUP($B18,'IA1-Final Void inc Ramps'!$A$11:$BN$18,MATCH(Summary!BA$1,'IA1-Final Void inc Ramps'!$A$9:$BN$9,1),FALSE),0)</f>
        <v>1331.3100000000002</v>
      </c>
      <c r="BB18" s="47">
        <f>IFERROR(VLOOKUP($B18,'RA1- Elevated Dumps Upper'!$A$11:$BN$18,MATCH(Summary!BB$1,'RA1- Elevated Dumps Upper'!$A$9:$BN$9,1),FALSE),0)+IFERROR(VLOOKUP($B18,'RA2-Elevated Dumps Slopes'!$A$11:$BN$18,MATCH(Summary!BB$1,'RA2-Elevated Dumps Slopes'!$A$9:$BN$9,1),FALSE),0)+IFERROR(VLOOKUP($B18,'RA3-Backfilled Pits'!$A$11:$BN$18,MATCH(Summary!BB$1,'RA3-Backfilled Pits'!$A$9:$BN$9,1),FALSE),0)+IFERROR(VLOOKUP($B18,'RA4-Tracks_Roads'!$A$11:$BN$18,MATCH(Summary!BB$1,'RA4-Tracks_Roads'!$A$9:$BN$9,1),FALSE),0)+IFERROR(VLOOKUP($B18,'RA5-ROM'!$A$11:$BN$18,MATCH(Summary!BB$1,'RA5-ROM'!$A$9:$BN$9,1),FALSE),0)+IFERROR(VLOOKUP($B18,'RA6-CHPP'!$A$11:$BN$18,MATCH(Summary!BB$1,'RA6-CHPP'!$A$9:$BN$9,1),FALSE),0)+IFERROR(VLOOKUP($B18,'RA7-Mine Infrastructure Area'!$A$11:$BN$18,MATCH(Summary!BB$1,'RA7-Mine Infrastructure Area'!$A$9:$BN$9,1),FALSE),0)+IFERROR(VLOOKUP($B18,'RA8-Water Management Structures'!$A$11:$BN$18,MATCH(Summary!BB$1,'RA8-Water Management Structures'!$A$9:$BN$9,1),FALSE),0)+IFERROR(VLOOKUP($B18,'RA9-Codisposal Upper'!$A$11:$BN$18,MATCH(Summary!BB$1,'RA9-Codisposal Upper'!$A$9:$BN$9,1),FALSE),0)+IFERROR(VLOOKUP($B18,'RA10-Codisposal Slopes'!$A$11:$BN$18,MATCH(Summary!BB$1,'RA10-Codisposal Slopes'!$A$9:$BN$9,1),FALSE),0)+IFERROR(VLOOKUP($B18,'IA1-Final Void inc Ramps'!$A$11:$BN$18,MATCH(Summary!BB$1,'IA1-Final Void inc Ramps'!$A$9:$BN$9,1),FALSE),0)</f>
        <v>1331.3100000000002</v>
      </c>
      <c r="BC18" s="47">
        <f>IFERROR(VLOOKUP($B18,'RA1- Elevated Dumps Upper'!$A$11:$BN$18,MATCH(Summary!BC$1,'RA1- Elevated Dumps Upper'!$A$9:$BN$9,1),FALSE),0)+IFERROR(VLOOKUP($B18,'RA2-Elevated Dumps Slopes'!$A$11:$BN$18,MATCH(Summary!BC$1,'RA2-Elevated Dumps Slopes'!$A$9:$BN$9,1),FALSE),0)+IFERROR(VLOOKUP($B18,'RA3-Backfilled Pits'!$A$11:$BN$18,MATCH(Summary!BC$1,'RA3-Backfilled Pits'!$A$9:$BN$9,1),FALSE),0)+IFERROR(VLOOKUP($B18,'RA4-Tracks_Roads'!$A$11:$BN$18,MATCH(Summary!BC$1,'RA4-Tracks_Roads'!$A$9:$BN$9,1),FALSE),0)+IFERROR(VLOOKUP($B18,'RA5-ROM'!$A$11:$BN$18,MATCH(Summary!BC$1,'RA5-ROM'!$A$9:$BN$9,1),FALSE),0)+IFERROR(VLOOKUP($B18,'RA6-CHPP'!$A$11:$BN$18,MATCH(Summary!BC$1,'RA6-CHPP'!$A$9:$BN$9,1),FALSE),0)+IFERROR(VLOOKUP($B18,'RA7-Mine Infrastructure Area'!$A$11:$BN$18,MATCH(Summary!BC$1,'RA7-Mine Infrastructure Area'!$A$9:$BN$9,1),FALSE),0)+IFERROR(VLOOKUP($B18,'RA8-Water Management Structures'!$A$11:$BN$18,MATCH(Summary!BC$1,'RA8-Water Management Structures'!$A$9:$BN$9,1),FALSE),0)+IFERROR(VLOOKUP($B18,'RA9-Codisposal Upper'!$A$11:$BN$18,MATCH(Summary!BC$1,'RA9-Codisposal Upper'!$A$9:$BN$9,1),FALSE),0)+IFERROR(VLOOKUP($B18,'RA10-Codisposal Slopes'!$A$11:$BN$18,MATCH(Summary!BC$1,'RA10-Codisposal Slopes'!$A$9:$BN$9,1),FALSE),0)+IFERROR(VLOOKUP($B18,'IA1-Final Void inc Ramps'!$A$11:$BN$18,MATCH(Summary!BC$1,'IA1-Final Void inc Ramps'!$A$9:$BN$9,1),FALSE),0)</f>
        <v>1331.3100000000002</v>
      </c>
      <c r="BD18" s="47">
        <f>IFERROR(VLOOKUP($B18,'RA1- Elevated Dumps Upper'!$A$11:$BN$18,MATCH(Summary!BD$1,'RA1- Elevated Dumps Upper'!$A$9:$BN$9,1),FALSE),0)+IFERROR(VLOOKUP($B18,'RA2-Elevated Dumps Slopes'!$A$11:$BN$18,MATCH(Summary!BD$1,'RA2-Elevated Dumps Slopes'!$A$9:$BN$9,1),FALSE),0)+IFERROR(VLOOKUP($B18,'RA3-Backfilled Pits'!$A$11:$BN$18,MATCH(Summary!BD$1,'RA3-Backfilled Pits'!$A$9:$BN$9,1),FALSE),0)+IFERROR(VLOOKUP($B18,'RA4-Tracks_Roads'!$A$11:$BN$18,MATCH(Summary!BD$1,'RA4-Tracks_Roads'!$A$9:$BN$9,1),FALSE),0)+IFERROR(VLOOKUP($B18,'RA5-ROM'!$A$11:$BN$18,MATCH(Summary!BD$1,'RA5-ROM'!$A$9:$BN$9,1),FALSE),0)+IFERROR(VLOOKUP($B18,'RA6-CHPP'!$A$11:$BN$18,MATCH(Summary!BD$1,'RA6-CHPP'!$A$9:$BN$9,1),FALSE),0)+IFERROR(VLOOKUP($B18,'RA7-Mine Infrastructure Area'!$A$11:$BN$18,MATCH(Summary!BD$1,'RA7-Mine Infrastructure Area'!$A$9:$BN$9,1),FALSE),0)+IFERROR(VLOOKUP($B18,'RA8-Water Management Structures'!$A$11:$BN$18,MATCH(Summary!BD$1,'RA8-Water Management Structures'!$A$9:$BN$9,1),FALSE),0)+IFERROR(VLOOKUP($B18,'RA9-Codisposal Upper'!$A$11:$BN$18,MATCH(Summary!BD$1,'RA9-Codisposal Upper'!$A$9:$BN$9,1),FALSE),0)+IFERROR(VLOOKUP($B18,'RA10-Codisposal Slopes'!$A$11:$BN$18,MATCH(Summary!BD$1,'RA10-Codisposal Slopes'!$A$9:$BN$9,1),FALSE),0)+IFERROR(VLOOKUP($B18,'IA1-Final Void inc Ramps'!$A$11:$BN$18,MATCH(Summary!BD$1,'IA1-Final Void inc Ramps'!$A$9:$BN$9,1),FALSE),0)</f>
        <v>1331.3100000000002</v>
      </c>
      <c r="BE18" s="47">
        <f>IFERROR(VLOOKUP($B18,'RA1- Elevated Dumps Upper'!$A$11:$BN$18,MATCH(Summary!BE$1,'RA1- Elevated Dumps Upper'!$A$9:$BN$9,1),FALSE),0)+IFERROR(VLOOKUP($B18,'RA2-Elevated Dumps Slopes'!$A$11:$BN$18,MATCH(Summary!BE$1,'RA2-Elevated Dumps Slopes'!$A$9:$BN$9,1),FALSE),0)+IFERROR(VLOOKUP($B18,'RA3-Backfilled Pits'!$A$11:$BN$18,MATCH(Summary!BE$1,'RA3-Backfilled Pits'!$A$9:$BN$9,1),FALSE),0)+IFERROR(VLOOKUP($B18,'RA4-Tracks_Roads'!$A$11:$BN$18,MATCH(Summary!BE$1,'RA4-Tracks_Roads'!$A$9:$BN$9,1),FALSE),0)+IFERROR(VLOOKUP($B18,'RA5-ROM'!$A$11:$BN$18,MATCH(Summary!BE$1,'RA5-ROM'!$A$9:$BN$9,1),FALSE),0)+IFERROR(VLOOKUP($B18,'RA6-CHPP'!$A$11:$BN$18,MATCH(Summary!BE$1,'RA6-CHPP'!$A$9:$BN$9,1),FALSE),0)+IFERROR(VLOOKUP($B18,'RA7-Mine Infrastructure Area'!$A$11:$BN$18,MATCH(Summary!BE$1,'RA7-Mine Infrastructure Area'!$A$9:$BN$9,1),FALSE),0)+IFERROR(VLOOKUP($B18,'RA8-Water Management Structures'!$A$11:$BN$18,MATCH(Summary!BE$1,'RA8-Water Management Structures'!$A$9:$BN$9,1),FALSE),0)+IFERROR(VLOOKUP($B18,'RA9-Codisposal Upper'!$A$11:$BN$18,MATCH(Summary!BE$1,'RA9-Codisposal Upper'!$A$9:$BN$9,1),FALSE),0)+IFERROR(VLOOKUP($B18,'RA10-Codisposal Slopes'!$A$11:$BN$18,MATCH(Summary!BE$1,'RA10-Codisposal Slopes'!$A$9:$BN$9,1),FALSE),0)+IFERROR(VLOOKUP($B18,'IA1-Final Void inc Ramps'!$A$11:$BN$18,MATCH(Summary!BE$1,'IA1-Final Void inc Ramps'!$A$9:$BN$9,1),FALSE),0)</f>
        <v>1331.3100000000002</v>
      </c>
      <c r="BF18" s="47">
        <f>IFERROR(VLOOKUP($B18,'RA1- Elevated Dumps Upper'!$A$11:$BN$18,MATCH(Summary!BF$1,'RA1- Elevated Dumps Upper'!$A$9:$BN$9,1),FALSE),0)+IFERROR(VLOOKUP($B18,'RA2-Elevated Dumps Slopes'!$A$11:$BN$18,MATCH(Summary!BF$1,'RA2-Elevated Dumps Slopes'!$A$9:$BN$9,1),FALSE),0)+IFERROR(VLOOKUP($B18,'RA3-Backfilled Pits'!$A$11:$BN$18,MATCH(Summary!BF$1,'RA3-Backfilled Pits'!$A$9:$BN$9,1),FALSE),0)+IFERROR(VLOOKUP($B18,'RA4-Tracks_Roads'!$A$11:$BN$18,MATCH(Summary!BF$1,'RA4-Tracks_Roads'!$A$9:$BN$9,1),FALSE),0)+IFERROR(VLOOKUP($B18,'RA5-ROM'!$A$11:$BN$18,MATCH(Summary!BF$1,'RA5-ROM'!$A$9:$BN$9,1),FALSE),0)+IFERROR(VLOOKUP($B18,'RA6-CHPP'!$A$11:$BN$18,MATCH(Summary!BF$1,'RA6-CHPP'!$A$9:$BN$9,1),FALSE),0)+IFERROR(VLOOKUP($B18,'RA7-Mine Infrastructure Area'!$A$11:$BN$18,MATCH(Summary!BF$1,'RA7-Mine Infrastructure Area'!$A$9:$BN$9,1),FALSE),0)+IFERROR(VLOOKUP($B18,'RA8-Water Management Structures'!$A$11:$BN$18,MATCH(Summary!BF$1,'RA8-Water Management Structures'!$A$9:$BN$9,1),FALSE),0)+IFERROR(VLOOKUP($B18,'RA9-Codisposal Upper'!$A$11:$BN$18,MATCH(Summary!BF$1,'RA9-Codisposal Upper'!$A$9:$BN$9,1),FALSE),0)+IFERROR(VLOOKUP($B18,'RA10-Codisposal Slopes'!$A$11:$BN$18,MATCH(Summary!BF$1,'RA10-Codisposal Slopes'!$A$9:$BN$9,1),FALSE),0)+IFERROR(VLOOKUP($B18,'IA1-Final Void inc Ramps'!$A$11:$BN$18,MATCH(Summary!BF$1,'IA1-Final Void inc Ramps'!$A$9:$BN$9,1),FALSE),0)</f>
        <v>1331.3100000000002</v>
      </c>
      <c r="BG18" s="47">
        <f>IFERROR(VLOOKUP($B18,'RA1- Elevated Dumps Upper'!$A$11:$BN$18,MATCH(Summary!BG$1,'RA1- Elevated Dumps Upper'!$A$9:$BN$9,1),FALSE),0)+IFERROR(VLOOKUP($B18,'RA2-Elevated Dumps Slopes'!$A$11:$BN$18,MATCH(Summary!BG$1,'RA2-Elevated Dumps Slopes'!$A$9:$BN$9,1),FALSE),0)+IFERROR(VLOOKUP($B18,'RA3-Backfilled Pits'!$A$11:$BN$18,MATCH(Summary!BG$1,'RA3-Backfilled Pits'!$A$9:$BN$9,1),FALSE),0)+IFERROR(VLOOKUP($B18,'RA4-Tracks_Roads'!$A$11:$BN$18,MATCH(Summary!BG$1,'RA4-Tracks_Roads'!$A$9:$BN$9,1),FALSE),0)+IFERROR(VLOOKUP($B18,'RA5-ROM'!$A$11:$BN$18,MATCH(Summary!BG$1,'RA5-ROM'!$A$9:$BN$9,1),FALSE),0)+IFERROR(VLOOKUP($B18,'RA6-CHPP'!$A$11:$BN$18,MATCH(Summary!BG$1,'RA6-CHPP'!$A$9:$BN$9,1),FALSE),0)+IFERROR(VLOOKUP($B18,'RA7-Mine Infrastructure Area'!$A$11:$BN$18,MATCH(Summary!BG$1,'RA7-Mine Infrastructure Area'!$A$9:$BN$9,1),FALSE),0)+IFERROR(VLOOKUP($B18,'RA8-Water Management Structures'!$A$11:$BN$18,MATCH(Summary!BG$1,'RA8-Water Management Structures'!$A$9:$BN$9,1),FALSE),0)+IFERROR(VLOOKUP($B18,'RA9-Codisposal Upper'!$A$11:$BN$18,MATCH(Summary!BG$1,'RA9-Codisposal Upper'!$A$9:$BN$9,1),FALSE),0)+IFERROR(VLOOKUP($B18,'RA10-Codisposal Slopes'!$A$11:$BN$18,MATCH(Summary!BG$1,'RA10-Codisposal Slopes'!$A$9:$BN$9,1),FALSE),0)+IFERROR(VLOOKUP($B18,'IA1-Final Void inc Ramps'!$A$11:$BN$18,MATCH(Summary!BG$1,'IA1-Final Void inc Ramps'!$A$9:$BN$9,1),FALSE),0)</f>
        <v>1331.3100000000002</v>
      </c>
      <c r="BH18" s="47">
        <f>IFERROR(VLOOKUP($B18,'RA1- Elevated Dumps Upper'!$A$11:$BN$18,MATCH(Summary!BH$1,'RA1- Elevated Dumps Upper'!$A$9:$BN$9,1),FALSE),0)+IFERROR(VLOOKUP($B18,'RA2-Elevated Dumps Slopes'!$A$11:$BN$18,MATCH(Summary!BH$1,'RA2-Elevated Dumps Slopes'!$A$9:$BN$9,1),FALSE),0)+IFERROR(VLOOKUP($B18,'RA3-Backfilled Pits'!$A$11:$BN$18,MATCH(Summary!BH$1,'RA3-Backfilled Pits'!$A$9:$BN$9,1),FALSE),0)+IFERROR(VLOOKUP($B18,'RA4-Tracks_Roads'!$A$11:$BN$18,MATCH(Summary!BH$1,'RA4-Tracks_Roads'!$A$9:$BN$9,1),FALSE),0)+IFERROR(VLOOKUP($B18,'RA5-ROM'!$A$11:$BN$18,MATCH(Summary!BH$1,'RA5-ROM'!$A$9:$BN$9,1),FALSE),0)+IFERROR(VLOOKUP($B18,'RA6-CHPP'!$A$11:$BN$18,MATCH(Summary!BH$1,'RA6-CHPP'!$A$9:$BN$9,1),FALSE),0)+IFERROR(VLOOKUP($B18,'RA7-Mine Infrastructure Area'!$A$11:$BN$18,MATCH(Summary!BH$1,'RA7-Mine Infrastructure Area'!$A$9:$BN$9,1),FALSE),0)+IFERROR(VLOOKUP($B18,'RA8-Water Management Structures'!$A$11:$BN$18,MATCH(Summary!BH$1,'RA8-Water Management Structures'!$A$9:$BN$9,1),FALSE),0)+IFERROR(VLOOKUP($B18,'RA9-Codisposal Upper'!$A$11:$BN$18,MATCH(Summary!BH$1,'RA9-Codisposal Upper'!$A$9:$BN$9,1),FALSE),0)+IFERROR(VLOOKUP($B18,'RA10-Codisposal Slopes'!$A$11:$BN$18,MATCH(Summary!BH$1,'RA10-Codisposal Slopes'!$A$9:$BN$9,1),FALSE),0)+IFERROR(VLOOKUP($B18,'IA1-Final Void inc Ramps'!$A$11:$BN$18,MATCH(Summary!BH$1,'IA1-Final Void inc Ramps'!$A$9:$BN$9,1),FALSE),0)</f>
        <v>1331.3100000000002</v>
      </c>
      <c r="BI18" s="47">
        <f>IFERROR(VLOOKUP($B18,'RA1- Elevated Dumps Upper'!$A$11:$BN$18,MATCH(Summary!BI$1,'RA1- Elevated Dumps Upper'!$A$9:$BN$9,1),FALSE),0)+IFERROR(VLOOKUP($B18,'RA2-Elevated Dumps Slopes'!$A$11:$BN$18,MATCH(Summary!BI$1,'RA2-Elevated Dumps Slopes'!$A$9:$BN$9,1),FALSE),0)+IFERROR(VLOOKUP($B18,'RA3-Backfilled Pits'!$A$11:$BN$18,MATCH(Summary!BI$1,'RA3-Backfilled Pits'!$A$9:$BN$9,1),FALSE),0)+IFERROR(VLOOKUP($B18,'RA4-Tracks_Roads'!$A$11:$BN$18,MATCH(Summary!BI$1,'RA4-Tracks_Roads'!$A$9:$BN$9,1),FALSE),0)+IFERROR(VLOOKUP($B18,'RA5-ROM'!$A$11:$BN$18,MATCH(Summary!BI$1,'RA5-ROM'!$A$9:$BN$9,1),FALSE),0)+IFERROR(VLOOKUP($B18,'RA6-CHPP'!$A$11:$BN$18,MATCH(Summary!BI$1,'RA6-CHPP'!$A$9:$BN$9,1),FALSE),0)+IFERROR(VLOOKUP($B18,'RA7-Mine Infrastructure Area'!$A$11:$BN$18,MATCH(Summary!BI$1,'RA7-Mine Infrastructure Area'!$A$9:$BN$9,1),FALSE),0)+IFERROR(VLOOKUP($B18,'RA8-Water Management Structures'!$A$11:$BN$18,MATCH(Summary!BI$1,'RA8-Water Management Structures'!$A$9:$BN$9,1),FALSE),0)+IFERROR(VLOOKUP($B18,'RA9-Codisposal Upper'!$A$11:$BN$18,MATCH(Summary!BI$1,'RA9-Codisposal Upper'!$A$9:$BN$9,1),FALSE),0)+IFERROR(VLOOKUP($B18,'RA10-Codisposal Slopes'!$A$11:$BN$18,MATCH(Summary!BI$1,'RA10-Codisposal Slopes'!$A$9:$BN$9,1),FALSE),0)+IFERROR(VLOOKUP($B18,'IA1-Final Void inc Ramps'!$A$11:$BN$18,MATCH(Summary!BI$1,'IA1-Final Void inc Ramps'!$A$9:$BN$9,1),FALSE),0)</f>
        <v>1331.3100000000002</v>
      </c>
      <c r="BJ18" s="47">
        <f>IFERROR(VLOOKUP($B18,'RA1- Elevated Dumps Upper'!$A$11:$BN$18,MATCH(Summary!BJ$1,'RA1- Elevated Dumps Upper'!$A$9:$BN$9,1),FALSE),0)+IFERROR(VLOOKUP($B18,'RA2-Elevated Dumps Slopes'!$A$11:$BN$18,MATCH(Summary!BJ$1,'RA2-Elevated Dumps Slopes'!$A$9:$BN$9,1),FALSE),0)+IFERROR(VLOOKUP($B18,'RA3-Backfilled Pits'!$A$11:$BN$18,MATCH(Summary!BJ$1,'RA3-Backfilled Pits'!$A$9:$BN$9,1),FALSE),0)+IFERROR(VLOOKUP($B18,'RA4-Tracks_Roads'!$A$11:$BN$18,MATCH(Summary!BJ$1,'RA4-Tracks_Roads'!$A$9:$BN$9,1),FALSE),0)+IFERROR(VLOOKUP($B18,'RA5-ROM'!$A$11:$BN$18,MATCH(Summary!BJ$1,'RA5-ROM'!$A$9:$BN$9,1),FALSE),0)+IFERROR(VLOOKUP($B18,'RA6-CHPP'!$A$11:$BN$18,MATCH(Summary!BJ$1,'RA6-CHPP'!$A$9:$BN$9,1),FALSE),0)+IFERROR(VLOOKUP($B18,'RA7-Mine Infrastructure Area'!$A$11:$BN$18,MATCH(Summary!BJ$1,'RA7-Mine Infrastructure Area'!$A$9:$BN$9,1),FALSE),0)+IFERROR(VLOOKUP($B18,'RA8-Water Management Structures'!$A$11:$BN$18,MATCH(Summary!BJ$1,'RA8-Water Management Structures'!$A$9:$BN$9,1),FALSE),0)+IFERROR(VLOOKUP($B18,'RA9-Codisposal Upper'!$A$11:$BN$18,MATCH(Summary!BJ$1,'RA9-Codisposal Upper'!$A$9:$BN$9,1),FALSE),0)+IFERROR(VLOOKUP($B18,'RA10-Codisposal Slopes'!$A$11:$BN$18,MATCH(Summary!BJ$1,'RA10-Codisposal Slopes'!$A$9:$BN$9,1),FALSE),0)+IFERROR(VLOOKUP($B18,'IA1-Final Void inc Ramps'!$A$11:$BN$18,MATCH(Summary!BJ$1,'IA1-Final Void inc Ramps'!$A$9:$BN$9,1),FALSE),0)</f>
        <v>1331.3100000000002</v>
      </c>
      <c r="BK18" s="47">
        <f>IFERROR(VLOOKUP($B18,'RA1- Elevated Dumps Upper'!$A$11:$BN$18,MATCH(Summary!BK$1,'RA1- Elevated Dumps Upper'!$A$9:$BN$9,1),FALSE),0)+IFERROR(VLOOKUP($B18,'RA2-Elevated Dumps Slopes'!$A$11:$BN$18,MATCH(Summary!BK$1,'RA2-Elevated Dumps Slopes'!$A$9:$BN$9,1),FALSE),0)+IFERROR(VLOOKUP($B18,'RA3-Backfilled Pits'!$A$11:$BN$18,MATCH(Summary!BK$1,'RA3-Backfilled Pits'!$A$9:$BN$9,1),FALSE),0)+IFERROR(VLOOKUP($B18,'RA4-Tracks_Roads'!$A$11:$BN$18,MATCH(Summary!BK$1,'RA4-Tracks_Roads'!$A$9:$BN$9,1),FALSE),0)+IFERROR(VLOOKUP($B18,'RA5-ROM'!$A$11:$BN$18,MATCH(Summary!BK$1,'RA5-ROM'!$A$9:$BN$9,1),FALSE),0)+IFERROR(VLOOKUP($B18,'RA6-CHPP'!$A$11:$BN$18,MATCH(Summary!BK$1,'RA6-CHPP'!$A$9:$BN$9,1),FALSE),0)+IFERROR(VLOOKUP($B18,'RA7-Mine Infrastructure Area'!$A$11:$BN$18,MATCH(Summary!BK$1,'RA7-Mine Infrastructure Area'!$A$9:$BN$9,1),FALSE),0)+IFERROR(VLOOKUP($B18,'RA8-Water Management Structures'!$A$11:$BN$18,MATCH(Summary!BK$1,'RA8-Water Management Structures'!$A$9:$BN$9,1),FALSE),0)+IFERROR(VLOOKUP($B18,'RA9-Codisposal Upper'!$A$11:$BN$18,MATCH(Summary!BK$1,'RA9-Codisposal Upper'!$A$9:$BN$9,1),FALSE),0)+IFERROR(VLOOKUP($B18,'RA10-Codisposal Slopes'!$A$11:$BN$18,MATCH(Summary!BK$1,'RA10-Codisposal Slopes'!$A$9:$BN$9,1),FALSE),0)+IFERROR(VLOOKUP($B18,'IA1-Final Void inc Ramps'!$A$11:$BN$18,MATCH(Summary!BK$1,'IA1-Final Void inc Ramps'!$A$9:$BN$9,1),FALSE),0)</f>
        <v>1331.3100000000002</v>
      </c>
      <c r="BL18" s="47">
        <f>IFERROR(VLOOKUP($B18,'RA1- Elevated Dumps Upper'!$A$11:$BN$18,MATCH(Summary!BL$1,'RA1- Elevated Dumps Upper'!$A$9:$BN$9,1),FALSE),0)+IFERROR(VLOOKUP($B18,'RA2-Elevated Dumps Slopes'!$A$11:$BN$18,MATCH(Summary!BL$1,'RA2-Elevated Dumps Slopes'!$A$9:$BN$9,1),FALSE),0)+IFERROR(VLOOKUP($B18,'RA3-Backfilled Pits'!$A$11:$BN$18,MATCH(Summary!BL$1,'RA3-Backfilled Pits'!$A$9:$BN$9,1),FALSE),0)+IFERROR(VLOOKUP($B18,'RA4-Tracks_Roads'!$A$11:$BN$18,MATCH(Summary!BL$1,'RA4-Tracks_Roads'!$A$9:$BN$9,1),FALSE),0)+IFERROR(VLOOKUP($B18,'RA5-ROM'!$A$11:$BN$18,MATCH(Summary!BL$1,'RA5-ROM'!$A$9:$BN$9,1),FALSE),0)+IFERROR(VLOOKUP($B18,'RA6-CHPP'!$A$11:$BN$18,MATCH(Summary!BL$1,'RA6-CHPP'!$A$9:$BN$9,1),FALSE),0)+IFERROR(VLOOKUP($B18,'RA7-Mine Infrastructure Area'!$A$11:$BN$18,MATCH(Summary!BL$1,'RA7-Mine Infrastructure Area'!$A$9:$BN$9,1),FALSE),0)+IFERROR(VLOOKUP($B18,'RA8-Water Management Structures'!$A$11:$BN$18,MATCH(Summary!BL$1,'RA8-Water Management Structures'!$A$9:$BN$9,1),FALSE),0)+IFERROR(VLOOKUP($B18,'RA9-Codisposal Upper'!$A$11:$BN$18,MATCH(Summary!BL$1,'RA9-Codisposal Upper'!$A$9:$BN$9,1),FALSE),0)+IFERROR(VLOOKUP($B18,'RA10-Codisposal Slopes'!$A$11:$BN$18,MATCH(Summary!BL$1,'RA10-Codisposal Slopes'!$A$9:$BN$9,1),FALSE),0)+IFERROR(VLOOKUP($B18,'IA1-Final Void inc Ramps'!$A$11:$BN$18,MATCH(Summary!BL$1,'IA1-Final Void inc Ramps'!$A$9:$BN$9,1),FALSE),0)</f>
        <v>1331.3100000000002</v>
      </c>
      <c r="BM18" s="47">
        <f>IFERROR(VLOOKUP($B18,'RA1- Elevated Dumps Upper'!$A$11:$BN$18,MATCH(Summary!BM$1,'RA1- Elevated Dumps Upper'!$A$9:$BN$9,1),FALSE),0)+IFERROR(VLOOKUP($B18,'RA2-Elevated Dumps Slopes'!$A$11:$BN$18,MATCH(Summary!BM$1,'RA2-Elevated Dumps Slopes'!$A$9:$BN$9,1),FALSE),0)+IFERROR(VLOOKUP($B18,'RA3-Backfilled Pits'!$A$11:$BN$18,MATCH(Summary!BM$1,'RA3-Backfilled Pits'!$A$9:$BN$9,1),FALSE),0)+IFERROR(VLOOKUP($B18,'RA4-Tracks_Roads'!$A$11:$BN$18,MATCH(Summary!BM$1,'RA4-Tracks_Roads'!$A$9:$BN$9,1),FALSE),0)+IFERROR(VLOOKUP($B18,'RA5-ROM'!$A$11:$BN$18,MATCH(Summary!BM$1,'RA5-ROM'!$A$9:$BN$9,1),FALSE),0)+IFERROR(VLOOKUP($B18,'RA6-CHPP'!$A$11:$BN$18,MATCH(Summary!BM$1,'RA6-CHPP'!$A$9:$BN$9,1),FALSE),0)+IFERROR(VLOOKUP($B18,'RA7-Mine Infrastructure Area'!$A$11:$BN$18,MATCH(Summary!BM$1,'RA7-Mine Infrastructure Area'!$A$9:$BN$9,1),FALSE),0)+IFERROR(VLOOKUP($B18,'RA8-Water Management Structures'!$A$11:$BN$18,MATCH(Summary!BM$1,'RA8-Water Management Structures'!$A$9:$BN$9,1),FALSE),0)+IFERROR(VLOOKUP($B18,'RA9-Codisposal Upper'!$A$11:$BN$18,MATCH(Summary!BM$1,'RA9-Codisposal Upper'!$A$9:$BN$9,1),FALSE),0)+IFERROR(VLOOKUP($B18,'RA10-Codisposal Slopes'!$A$11:$BN$18,MATCH(Summary!BM$1,'RA10-Codisposal Slopes'!$A$9:$BN$9,1),FALSE),0)+IFERROR(VLOOKUP($B18,'IA1-Final Void inc Ramps'!$A$11:$BN$18,MATCH(Summary!BM$1,'IA1-Final Void inc Ramps'!$A$9:$BN$9,1),FALSE),0)</f>
        <v>1331.3100000000002</v>
      </c>
      <c r="BN18" s="47">
        <f>IFERROR(VLOOKUP($B18,'RA1- Elevated Dumps Upper'!$A$11:$BN$18,MATCH(Summary!BN$1,'RA1- Elevated Dumps Upper'!$A$9:$BN$9,1),FALSE),0)+IFERROR(VLOOKUP($B18,'RA2-Elevated Dumps Slopes'!$A$11:$BN$18,MATCH(Summary!BN$1,'RA2-Elevated Dumps Slopes'!$A$9:$BN$9,1),FALSE),0)+IFERROR(VLOOKUP($B18,'RA3-Backfilled Pits'!$A$11:$BN$18,MATCH(Summary!BN$1,'RA3-Backfilled Pits'!$A$9:$BN$9,1),FALSE),0)+IFERROR(VLOOKUP($B18,'RA4-Tracks_Roads'!$A$11:$BN$18,MATCH(Summary!BN$1,'RA4-Tracks_Roads'!$A$9:$BN$9,1),FALSE),0)+IFERROR(VLOOKUP($B18,'RA5-ROM'!$A$11:$BN$18,MATCH(Summary!BN$1,'RA5-ROM'!$A$9:$BN$9,1),FALSE),0)+IFERROR(VLOOKUP($B18,'RA6-CHPP'!$A$11:$BN$18,MATCH(Summary!BN$1,'RA6-CHPP'!$A$9:$BN$9,1),FALSE),0)+IFERROR(VLOOKUP($B18,'RA7-Mine Infrastructure Area'!$A$11:$BN$18,MATCH(Summary!BN$1,'RA7-Mine Infrastructure Area'!$A$9:$BN$9,1),FALSE),0)+IFERROR(VLOOKUP($B18,'RA8-Water Management Structures'!$A$11:$BN$18,MATCH(Summary!BN$1,'RA8-Water Management Structures'!$A$9:$BN$9,1),FALSE),0)+IFERROR(VLOOKUP($B18,'RA9-Codisposal Upper'!$A$11:$BN$18,MATCH(Summary!BN$1,'RA9-Codisposal Upper'!$A$9:$BN$9,1),FALSE),0)+IFERROR(VLOOKUP($B18,'RA10-Codisposal Slopes'!$A$11:$BN$18,MATCH(Summary!BN$1,'RA10-Codisposal Slopes'!$A$9:$BN$9,1),FALSE),0)+IFERROR(VLOOKUP($B18,'IA1-Final Void inc Ramps'!$A$11:$BN$18,MATCH(Summary!BN$1,'IA1-Final Void inc Ramps'!$A$9:$BN$9,1),FALSE),0)</f>
        <v>1331.3100000000002</v>
      </c>
    </row>
    <row r="19" spans="1:66" x14ac:dyDescent="0.35">
      <c r="B19" t="s">
        <v>33</v>
      </c>
      <c r="D19" s="47">
        <f>IFERROR(VLOOKUP($B19,'RA1- Elevated Dumps Upper'!$A$11:$BN$18,MATCH(Summary!D$1,'RA1- Elevated Dumps Upper'!$A$9:$BN$9,1),FALSE),0)+IFERROR(VLOOKUP($B19,'RA2-Elevated Dumps Slopes'!$A$11:$BN$18,MATCH(Summary!D$1,'RA2-Elevated Dumps Slopes'!$A$9:$BN$9,1),FALSE),0)+IFERROR(VLOOKUP($B19,'RA3-Backfilled Pits'!$A$11:$BN$18,MATCH(Summary!D$1,'RA3-Backfilled Pits'!$A$9:$BN$9,1),FALSE),0)+IFERROR(VLOOKUP($B19,'RA4-Tracks_Roads'!$A$11:$BN$18,MATCH(Summary!D$1,'RA4-Tracks_Roads'!$A$9:$BN$9,1),FALSE),0)+IFERROR(VLOOKUP($B19,'RA5-ROM'!$A$11:$BN$18,MATCH(Summary!D$1,'RA5-ROM'!$A$9:$BN$9,1),FALSE),0)+IFERROR(VLOOKUP($B19,'RA6-CHPP'!$A$11:$BN$18,MATCH(Summary!D$1,'RA6-CHPP'!$A$9:$BN$9,1),FALSE),0)+IFERROR(VLOOKUP($B19,'RA7-Mine Infrastructure Area'!$A$11:$BN$18,MATCH(Summary!D$1,'RA7-Mine Infrastructure Area'!$A$9:$BN$9,1),FALSE),0)+IFERROR(VLOOKUP($B19,'RA8-Water Management Structures'!$A$11:$BN$18,MATCH(Summary!D$1,'RA8-Water Management Structures'!$A$9:$BN$9,1),FALSE),0)+IFERROR(VLOOKUP($B19,'RA9-Codisposal Upper'!$A$11:$BN$18,MATCH(Summary!D$1,'RA9-Codisposal Upper'!$A$9:$BN$9,1),FALSE),0)+IFERROR(VLOOKUP($B19,'RA10-Codisposal Slopes'!$A$11:$BN$18,MATCH(Summary!D$1,'RA10-Codisposal Slopes'!$A$9:$BN$9,1),FALSE),0)+IFERROR(VLOOKUP($B19,'IA1-Final Void inc Ramps'!$A$11:$BN$18,MATCH(Summary!D$1,'IA1-Final Void inc Ramps'!$A$9:$BN$9,1),FALSE),0)</f>
        <v>0</v>
      </c>
      <c r="E19" s="47">
        <f>IFERROR(VLOOKUP($B19,'RA1- Elevated Dumps Upper'!$A$11:$BN$18,MATCH(Summary!E$1,'RA1- Elevated Dumps Upper'!$A$9:$BN$9,1),FALSE),0)+IFERROR(VLOOKUP($B19,'RA2-Elevated Dumps Slopes'!$A$11:$BN$18,MATCH(Summary!E$1,'RA2-Elevated Dumps Slopes'!$A$9:$BN$9,1),FALSE),0)+IFERROR(VLOOKUP($B19,'RA3-Backfilled Pits'!$A$11:$BN$18,MATCH(Summary!E$1,'RA3-Backfilled Pits'!$A$9:$BN$9,1),FALSE),0)+IFERROR(VLOOKUP($B19,'RA4-Tracks_Roads'!$A$11:$BN$18,MATCH(Summary!E$1,'RA4-Tracks_Roads'!$A$9:$BN$9,1),FALSE),0)+IFERROR(VLOOKUP($B19,'RA5-ROM'!$A$11:$BN$18,MATCH(Summary!E$1,'RA5-ROM'!$A$9:$BN$9,1),FALSE),0)+IFERROR(VLOOKUP($B19,'RA6-CHPP'!$A$11:$BN$18,MATCH(Summary!E$1,'RA6-CHPP'!$A$9:$BN$9,1),FALSE),0)+IFERROR(VLOOKUP($B19,'RA7-Mine Infrastructure Area'!$A$11:$BN$18,MATCH(Summary!E$1,'RA7-Mine Infrastructure Area'!$A$9:$BN$9,1),FALSE),0)+IFERROR(VLOOKUP($B19,'RA8-Water Management Structures'!$A$11:$BN$18,MATCH(Summary!E$1,'RA8-Water Management Structures'!$A$9:$BN$9,1),FALSE),0)+IFERROR(VLOOKUP($B19,'RA9-Codisposal Upper'!$A$11:$BN$18,MATCH(Summary!E$1,'RA9-Codisposal Upper'!$A$9:$BN$9,1),FALSE),0)+IFERROR(VLOOKUP($B19,'RA10-Codisposal Slopes'!$A$11:$BN$18,MATCH(Summary!E$1,'RA10-Codisposal Slopes'!$A$9:$BN$9,1),FALSE),0)+IFERROR(VLOOKUP($B19,'IA1-Final Void inc Ramps'!$A$11:$BN$18,MATCH(Summary!E$1,'IA1-Final Void inc Ramps'!$A$9:$BN$9,1),FALSE),0)</f>
        <v>0</v>
      </c>
      <c r="F19" s="47">
        <f>IFERROR(VLOOKUP($B19,'RA1- Elevated Dumps Upper'!$A$11:$BN$18,MATCH(Summary!F$1,'RA1- Elevated Dumps Upper'!$A$9:$BN$9,1),FALSE),0)+IFERROR(VLOOKUP($B19,'RA2-Elevated Dumps Slopes'!$A$11:$BN$18,MATCH(Summary!F$1,'RA2-Elevated Dumps Slopes'!$A$9:$BN$9,1),FALSE),0)+IFERROR(VLOOKUP($B19,'RA3-Backfilled Pits'!$A$11:$BN$18,MATCH(Summary!F$1,'RA3-Backfilled Pits'!$A$9:$BN$9,1),FALSE),0)+IFERROR(VLOOKUP($B19,'RA4-Tracks_Roads'!$A$11:$BN$18,MATCH(Summary!F$1,'RA4-Tracks_Roads'!$A$9:$BN$9,1),FALSE),0)+IFERROR(VLOOKUP($B19,'RA5-ROM'!$A$11:$BN$18,MATCH(Summary!F$1,'RA5-ROM'!$A$9:$BN$9,1),FALSE),0)+IFERROR(VLOOKUP($B19,'RA6-CHPP'!$A$11:$BN$18,MATCH(Summary!F$1,'RA6-CHPP'!$A$9:$BN$9,1),FALSE),0)+IFERROR(VLOOKUP($B19,'RA7-Mine Infrastructure Area'!$A$11:$BN$18,MATCH(Summary!F$1,'RA7-Mine Infrastructure Area'!$A$9:$BN$9,1),FALSE),0)+IFERROR(VLOOKUP($B19,'RA8-Water Management Structures'!$A$11:$BN$18,MATCH(Summary!F$1,'RA8-Water Management Structures'!$A$9:$BN$9,1),FALSE),0)+IFERROR(VLOOKUP($B19,'RA9-Codisposal Upper'!$A$11:$BN$18,MATCH(Summary!F$1,'RA9-Codisposal Upper'!$A$9:$BN$9,1),FALSE),0)+IFERROR(VLOOKUP($B19,'RA10-Codisposal Slopes'!$A$11:$BN$18,MATCH(Summary!F$1,'RA10-Codisposal Slopes'!$A$9:$BN$9,1),FALSE),0)+IFERROR(VLOOKUP($B19,'IA1-Final Void inc Ramps'!$A$11:$BN$18,MATCH(Summary!F$1,'IA1-Final Void inc Ramps'!$A$9:$BN$9,1),FALSE),0)</f>
        <v>0</v>
      </c>
      <c r="G19" s="47">
        <f>IFERROR(VLOOKUP($B19,'RA1- Elevated Dumps Upper'!$A$11:$BN$18,MATCH(Summary!G$1,'RA1- Elevated Dumps Upper'!$A$9:$BN$9,1),FALSE),0)+IFERROR(VLOOKUP($B19,'RA2-Elevated Dumps Slopes'!$A$11:$BN$18,MATCH(Summary!G$1,'RA2-Elevated Dumps Slopes'!$A$9:$BN$9,1),FALSE),0)+IFERROR(VLOOKUP($B19,'RA3-Backfilled Pits'!$A$11:$BN$18,MATCH(Summary!G$1,'RA3-Backfilled Pits'!$A$9:$BN$9,1),FALSE),0)+IFERROR(VLOOKUP($B19,'RA4-Tracks_Roads'!$A$11:$BN$18,MATCH(Summary!G$1,'RA4-Tracks_Roads'!$A$9:$BN$9,1),FALSE),0)+IFERROR(VLOOKUP($B19,'RA5-ROM'!$A$11:$BN$18,MATCH(Summary!G$1,'RA5-ROM'!$A$9:$BN$9,1),FALSE),0)+IFERROR(VLOOKUP($B19,'RA6-CHPP'!$A$11:$BN$18,MATCH(Summary!G$1,'RA6-CHPP'!$A$9:$BN$9,1),FALSE),0)+IFERROR(VLOOKUP($B19,'RA7-Mine Infrastructure Area'!$A$11:$BN$18,MATCH(Summary!G$1,'RA7-Mine Infrastructure Area'!$A$9:$BN$9,1),FALSE),0)+IFERROR(VLOOKUP($B19,'RA8-Water Management Structures'!$A$11:$BN$18,MATCH(Summary!G$1,'RA8-Water Management Structures'!$A$9:$BN$9,1),FALSE),0)+IFERROR(VLOOKUP($B19,'RA9-Codisposal Upper'!$A$11:$BN$18,MATCH(Summary!G$1,'RA9-Codisposal Upper'!$A$9:$BN$9,1),FALSE),0)+IFERROR(VLOOKUP($B19,'RA10-Codisposal Slopes'!$A$11:$BN$18,MATCH(Summary!G$1,'RA10-Codisposal Slopes'!$A$9:$BN$9,1),FALSE),0)+IFERROR(VLOOKUP($B19,'IA1-Final Void inc Ramps'!$A$11:$BN$18,MATCH(Summary!G$1,'IA1-Final Void inc Ramps'!$A$9:$BN$9,1),FALSE),0)</f>
        <v>0</v>
      </c>
      <c r="H19" s="47">
        <f>IFERROR(VLOOKUP($B19,'RA1- Elevated Dumps Upper'!$A$11:$BN$18,MATCH(Summary!H$1,'RA1- Elevated Dumps Upper'!$A$9:$BN$9,1),FALSE),0)+IFERROR(VLOOKUP($B19,'RA2-Elevated Dumps Slopes'!$A$11:$BN$18,MATCH(Summary!H$1,'RA2-Elevated Dumps Slopes'!$A$9:$BN$9,1),FALSE),0)+IFERROR(VLOOKUP($B19,'RA3-Backfilled Pits'!$A$11:$BN$18,MATCH(Summary!H$1,'RA3-Backfilled Pits'!$A$9:$BN$9,1),FALSE),0)+IFERROR(VLOOKUP($B19,'RA4-Tracks_Roads'!$A$11:$BN$18,MATCH(Summary!H$1,'RA4-Tracks_Roads'!$A$9:$BN$9,1),FALSE),0)+IFERROR(VLOOKUP($B19,'RA5-ROM'!$A$11:$BN$18,MATCH(Summary!H$1,'RA5-ROM'!$A$9:$BN$9,1),FALSE),0)+IFERROR(VLOOKUP($B19,'RA6-CHPP'!$A$11:$BN$18,MATCH(Summary!H$1,'RA6-CHPP'!$A$9:$BN$9,1),FALSE),0)+IFERROR(VLOOKUP($B19,'RA7-Mine Infrastructure Area'!$A$11:$BN$18,MATCH(Summary!H$1,'RA7-Mine Infrastructure Area'!$A$9:$BN$9,1),FALSE),0)+IFERROR(VLOOKUP($B19,'RA8-Water Management Structures'!$A$11:$BN$18,MATCH(Summary!H$1,'RA8-Water Management Structures'!$A$9:$BN$9,1),FALSE),0)+IFERROR(VLOOKUP($B19,'RA9-Codisposal Upper'!$A$11:$BN$18,MATCH(Summary!H$1,'RA9-Codisposal Upper'!$A$9:$BN$9,1),FALSE),0)+IFERROR(VLOOKUP($B19,'RA10-Codisposal Slopes'!$A$11:$BN$18,MATCH(Summary!H$1,'RA10-Codisposal Slopes'!$A$9:$BN$9,1),FALSE),0)+IFERROR(VLOOKUP($B19,'IA1-Final Void inc Ramps'!$A$11:$BN$18,MATCH(Summary!H$1,'IA1-Final Void inc Ramps'!$A$9:$BN$9,1),FALSE),0)</f>
        <v>0</v>
      </c>
      <c r="I19" s="47">
        <f>IFERROR(VLOOKUP($B19,'RA1- Elevated Dumps Upper'!$A$11:$BN$18,MATCH(Summary!I$1,'RA1- Elevated Dumps Upper'!$A$9:$BN$9,1),FALSE),0)+IFERROR(VLOOKUP($B19,'RA2-Elevated Dumps Slopes'!$A$11:$BN$18,MATCH(Summary!I$1,'RA2-Elevated Dumps Slopes'!$A$9:$BN$9,1),FALSE),0)+IFERROR(VLOOKUP($B19,'RA3-Backfilled Pits'!$A$11:$BN$18,MATCH(Summary!I$1,'RA3-Backfilled Pits'!$A$9:$BN$9,1),FALSE),0)+IFERROR(VLOOKUP($B19,'RA4-Tracks_Roads'!$A$11:$BN$18,MATCH(Summary!I$1,'RA4-Tracks_Roads'!$A$9:$BN$9,1),FALSE),0)+IFERROR(VLOOKUP($B19,'RA5-ROM'!$A$11:$BN$18,MATCH(Summary!I$1,'RA5-ROM'!$A$9:$BN$9,1),FALSE),0)+IFERROR(VLOOKUP($B19,'RA6-CHPP'!$A$11:$BN$18,MATCH(Summary!I$1,'RA6-CHPP'!$A$9:$BN$9,1),FALSE),0)+IFERROR(VLOOKUP($B19,'RA7-Mine Infrastructure Area'!$A$11:$BN$18,MATCH(Summary!I$1,'RA7-Mine Infrastructure Area'!$A$9:$BN$9,1),FALSE),0)+IFERROR(VLOOKUP($B19,'RA8-Water Management Structures'!$A$11:$BN$18,MATCH(Summary!I$1,'RA8-Water Management Structures'!$A$9:$BN$9,1),FALSE),0)+IFERROR(VLOOKUP($B19,'RA9-Codisposal Upper'!$A$11:$BN$18,MATCH(Summary!I$1,'RA9-Codisposal Upper'!$A$9:$BN$9,1),FALSE),0)+IFERROR(VLOOKUP($B19,'RA10-Codisposal Slopes'!$A$11:$BN$18,MATCH(Summary!I$1,'RA10-Codisposal Slopes'!$A$9:$BN$9,1),FALSE),0)+IFERROR(VLOOKUP($B19,'IA1-Final Void inc Ramps'!$A$11:$BN$18,MATCH(Summary!I$1,'IA1-Final Void inc Ramps'!$A$9:$BN$9,1),FALSE),0)</f>
        <v>0</v>
      </c>
      <c r="J19" s="47">
        <f>IFERROR(VLOOKUP($B19,'RA1- Elevated Dumps Upper'!$A$11:$BN$18,MATCH(Summary!J$1,'RA1- Elevated Dumps Upper'!$A$9:$BN$9,1),FALSE),0)+IFERROR(VLOOKUP($B19,'RA2-Elevated Dumps Slopes'!$A$11:$BN$18,MATCH(Summary!J$1,'RA2-Elevated Dumps Slopes'!$A$9:$BN$9,1),FALSE),0)+IFERROR(VLOOKUP($B19,'RA3-Backfilled Pits'!$A$11:$BN$18,MATCH(Summary!J$1,'RA3-Backfilled Pits'!$A$9:$BN$9,1),FALSE),0)+IFERROR(VLOOKUP($B19,'RA4-Tracks_Roads'!$A$11:$BN$18,MATCH(Summary!J$1,'RA4-Tracks_Roads'!$A$9:$BN$9,1),FALSE),0)+IFERROR(VLOOKUP($B19,'RA5-ROM'!$A$11:$BN$18,MATCH(Summary!J$1,'RA5-ROM'!$A$9:$BN$9,1),FALSE),0)+IFERROR(VLOOKUP($B19,'RA6-CHPP'!$A$11:$BN$18,MATCH(Summary!J$1,'RA6-CHPP'!$A$9:$BN$9,1),FALSE),0)+IFERROR(VLOOKUP($B19,'RA7-Mine Infrastructure Area'!$A$11:$BN$18,MATCH(Summary!J$1,'RA7-Mine Infrastructure Area'!$A$9:$BN$9,1),FALSE),0)+IFERROR(VLOOKUP($B19,'RA8-Water Management Structures'!$A$11:$BN$18,MATCH(Summary!J$1,'RA8-Water Management Structures'!$A$9:$BN$9,1),FALSE),0)+IFERROR(VLOOKUP($B19,'RA9-Codisposal Upper'!$A$11:$BN$18,MATCH(Summary!J$1,'RA9-Codisposal Upper'!$A$9:$BN$9,1),FALSE),0)+IFERROR(VLOOKUP($B19,'RA10-Codisposal Slopes'!$A$11:$BN$18,MATCH(Summary!J$1,'RA10-Codisposal Slopes'!$A$9:$BN$9,1),FALSE),0)+IFERROR(VLOOKUP($B19,'IA1-Final Void inc Ramps'!$A$11:$BN$18,MATCH(Summary!J$1,'IA1-Final Void inc Ramps'!$A$9:$BN$9,1),FALSE),0)</f>
        <v>0</v>
      </c>
      <c r="K19" s="47">
        <f>IFERROR(VLOOKUP($B19,'RA1- Elevated Dumps Upper'!$A$11:$BN$18,MATCH(Summary!K$1,'RA1- Elevated Dumps Upper'!$A$9:$BN$9,1),FALSE),0)+IFERROR(VLOOKUP($B19,'RA2-Elevated Dumps Slopes'!$A$11:$BN$18,MATCH(Summary!K$1,'RA2-Elevated Dumps Slopes'!$A$9:$BN$9,1),FALSE),0)+IFERROR(VLOOKUP($B19,'RA3-Backfilled Pits'!$A$11:$BN$18,MATCH(Summary!K$1,'RA3-Backfilled Pits'!$A$9:$BN$9,1),FALSE),0)+IFERROR(VLOOKUP($B19,'RA4-Tracks_Roads'!$A$11:$BN$18,MATCH(Summary!K$1,'RA4-Tracks_Roads'!$A$9:$BN$9,1),FALSE),0)+IFERROR(VLOOKUP($B19,'RA5-ROM'!$A$11:$BN$18,MATCH(Summary!K$1,'RA5-ROM'!$A$9:$BN$9,1),FALSE),0)+IFERROR(VLOOKUP($B19,'RA6-CHPP'!$A$11:$BN$18,MATCH(Summary!K$1,'RA6-CHPP'!$A$9:$BN$9,1),FALSE),0)+IFERROR(VLOOKUP($B19,'RA7-Mine Infrastructure Area'!$A$11:$BN$18,MATCH(Summary!K$1,'RA7-Mine Infrastructure Area'!$A$9:$BN$9,1),FALSE),0)+IFERROR(VLOOKUP($B19,'RA8-Water Management Structures'!$A$11:$BN$18,MATCH(Summary!K$1,'RA8-Water Management Structures'!$A$9:$BN$9,1),FALSE),0)+IFERROR(VLOOKUP($B19,'RA9-Codisposal Upper'!$A$11:$BN$18,MATCH(Summary!K$1,'RA9-Codisposal Upper'!$A$9:$BN$9,1),FALSE),0)+IFERROR(VLOOKUP($B19,'RA10-Codisposal Slopes'!$A$11:$BN$18,MATCH(Summary!K$1,'RA10-Codisposal Slopes'!$A$9:$BN$9,1),FALSE),0)+IFERROR(VLOOKUP($B19,'IA1-Final Void inc Ramps'!$A$11:$BN$18,MATCH(Summary!K$1,'IA1-Final Void inc Ramps'!$A$9:$BN$9,1),FALSE),0)</f>
        <v>0</v>
      </c>
      <c r="L19" s="47">
        <f>IFERROR(VLOOKUP($B19,'RA1- Elevated Dumps Upper'!$A$11:$BN$18,MATCH(Summary!L$1,'RA1- Elevated Dumps Upper'!$A$9:$BN$9,1),FALSE),0)+IFERROR(VLOOKUP($B19,'RA2-Elevated Dumps Slopes'!$A$11:$BN$18,MATCH(Summary!L$1,'RA2-Elevated Dumps Slopes'!$A$9:$BN$9,1),FALSE),0)+IFERROR(VLOOKUP($B19,'RA3-Backfilled Pits'!$A$11:$BN$18,MATCH(Summary!L$1,'RA3-Backfilled Pits'!$A$9:$BN$9,1),FALSE),0)+IFERROR(VLOOKUP($B19,'RA4-Tracks_Roads'!$A$11:$BN$18,MATCH(Summary!L$1,'RA4-Tracks_Roads'!$A$9:$BN$9,1),FALSE),0)+IFERROR(VLOOKUP($B19,'RA5-ROM'!$A$11:$BN$18,MATCH(Summary!L$1,'RA5-ROM'!$A$9:$BN$9,1),FALSE),0)+IFERROR(VLOOKUP($B19,'RA6-CHPP'!$A$11:$BN$18,MATCH(Summary!L$1,'RA6-CHPP'!$A$9:$BN$9,1),FALSE),0)+IFERROR(VLOOKUP($B19,'RA7-Mine Infrastructure Area'!$A$11:$BN$18,MATCH(Summary!L$1,'RA7-Mine Infrastructure Area'!$A$9:$BN$9,1),FALSE),0)+IFERROR(VLOOKUP($B19,'RA8-Water Management Structures'!$A$11:$BN$18,MATCH(Summary!L$1,'RA8-Water Management Structures'!$A$9:$BN$9,1),FALSE),0)+IFERROR(VLOOKUP($B19,'RA9-Codisposal Upper'!$A$11:$BN$18,MATCH(Summary!L$1,'RA9-Codisposal Upper'!$A$9:$BN$9,1),FALSE),0)+IFERROR(VLOOKUP($B19,'RA10-Codisposal Slopes'!$A$11:$BN$18,MATCH(Summary!L$1,'RA10-Codisposal Slopes'!$A$9:$BN$9,1),FALSE),0)+IFERROR(VLOOKUP($B19,'IA1-Final Void inc Ramps'!$A$11:$BN$18,MATCH(Summary!L$1,'IA1-Final Void inc Ramps'!$A$9:$BN$9,1),FALSE),0)</f>
        <v>0</v>
      </c>
      <c r="M19" s="47">
        <f>IFERROR(VLOOKUP($B19,'RA1- Elevated Dumps Upper'!$A$11:$BN$18,MATCH(Summary!M$1,'RA1- Elevated Dumps Upper'!$A$9:$BN$9,1),FALSE),0)+IFERROR(VLOOKUP($B19,'RA2-Elevated Dumps Slopes'!$A$11:$BN$18,MATCH(Summary!M$1,'RA2-Elevated Dumps Slopes'!$A$9:$BN$9,1),FALSE),0)+IFERROR(VLOOKUP($B19,'RA3-Backfilled Pits'!$A$11:$BN$18,MATCH(Summary!M$1,'RA3-Backfilled Pits'!$A$9:$BN$9,1),FALSE),0)+IFERROR(VLOOKUP($B19,'RA4-Tracks_Roads'!$A$11:$BN$18,MATCH(Summary!M$1,'RA4-Tracks_Roads'!$A$9:$BN$9,1),FALSE),0)+IFERROR(VLOOKUP($B19,'RA5-ROM'!$A$11:$BN$18,MATCH(Summary!M$1,'RA5-ROM'!$A$9:$BN$9,1),FALSE),0)+IFERROR(VLOOKUP($B19,'RA6-CHPP'!$A$11:$BN$18,MATCH(Summary!M$1,'RA6-CHPP'!$A$9:$BN$9,1),FALSE),0)+IFERROR(VLOOKUP($B19,'RA7-Mine Infrastructure Area'!$A$11:$BN$18,MATCH(Summary!M$1,'RA7-Mine Infrastructure Area'!$A$9:$BN$9,1),FALSE),0)+IFERROR(VLOOKUP($B19,'RA8-Water Management Structures'!$A$11:$BN$18,MATCH(Summary!M$1,'RA8-Water Management Structures'!$A$9:$BN$9,1),FALSE),0)+IFERROR(VLOOKUP($B19,'RA9-Codisposal Upper'!$A$11:$BN$18,MATCH(Summary!M$1,'RA9-Codisposal Upper'!$A$9:$BN$9,1),FALSE),0)+IFERROR(VLOOKUP($B19,'RA10-Codisposal Slopes'!$A$11:$BN$18,MATCH(Summary!M$1,'RA10-Codisposal Slopes'!$A$9:$BN$9,1),FALSE),0)+IFERROR(VLOOKUP($B19,'IA1-Final Void inc Ramps'!$A$11:$BN$18,MATCH(Summary!M$1,'IA1-Final Void inc Ramps'!$A$9:$BN$9,1),FALSE),0)</f>
        <v>0</v>
      </c>
      <c r="N19" s="47">
        <f>IFERROR(VLOOKUP($B19,'RA1- Elevated Dumps Upper'!$A$11:$BN$18,MATCH(Summary!N$1,'RA1- Elevated Dumps Upper'!$A$9:$BN$9,1),FALSE),0)+IFERROR(VLOOKUP($B19,'RA2-Elevated Dumps Slopes'!$A$11:$BN$18,MATCH(Summary!N$1,'RA2-Elevated Dumps Slopes'!$A$9:$BN$9,1),FALSE),0)+IFERROR(VLOOKUP($B19,'RA3-Backfilled Pits'!$A$11:$BN$18,MATCH(Summary!N$1,'RA3-Backfilled Pits'!$A$9:$BN$9,1),FALSE),0)+IFERROR(VLOOKUP($B19,'RA4-Tracks_Roads'!$A$11:$BN$18,MATCH(Summary!N$1,'RA4-Tracks_Roads'!$A$9:$BN$9,1),FALSE),0)+IFERROR(VLOOKUP($B19,'RA5-ROM'!$A$11:$BN$18,MATCH(Summary!N$1,'RA5-ROM'!$A$9:$BN$9,1),FALSE),0)+IFERROR(VLOOKUP($B19,'RA6-CHPP'!$A$11:$BN$18,MATCH(Summary!N$1,'RA6-CHPP'!$A$9:$BN$9,1),FALSE),0)+IFERROR(VLOOKUP($B19,'RA7-Mine Infrastructure Area'!$A$11:$BN$18,MATCH(Summary!N$1,'RA7-Mine Infrastructure Area'!$A$9:$BN$9,1),FALSE),0)+IFERROR(VLOOKUP($B19,'RA8-Water Management Structures'!$A$11:$BN$18,MATCH(Summary!N$1,'RA8-Water Management Structures'!$A$9:$BN$9,1),FALSE),0)+IFERROR(VLOOKUP($B19,'RA9-Codisposal Upper'!$A$11:$BN$18,MATCH(Summary!N$1,'RA9-Codisposal Upper'!$A$9:$BN$9,1),FALSE),0)+IFERROR(VLOOKUP($B19,'RA10-Codisposal Slopes'!$A$11:$BN$18,MATCH(Summary!N$1,'RA10-Codisposal Slopes'!$A$9:$BN$9,1),FALSE),0)+IFERROR(VLOOKUP($B19,'IA1-Final Void inc Ramps'!$A$11:$BN$18,MATCH(Summary!N$1,'IA1-Final Void inc Ramps'!$A$9:$BN$9,1),FALSE),0)</f>
        <v>0</v>
      </c>
      <c r="O19" s="47">
        <f>IFERROR(VLOOKUP($B19,'RA1- Elevated Dumps Upper'!$A$11:$BN$18,MATCH(Summary!O$1,'RA1- Elevated Dumps Upper'!$A$9:$BN$9,1),FALSE),0)+IFERROR(VLOOKUP($B19,'RA2-Elevated Dumps Slopes'!$A$11:$BN$18,MATCH(Summary!O$1,'RA2-Elevated Dumps Slopes'!$A$9:$BN$9,1),FALSE),0)+IFERROR(VLOOKUP($B19,'RA3-Backfilled Pits'!$A$11:$BN$18,MATCH(Summary!O$1,'RA3-Backfilled Pits'!$A$9:$BN$9,1),FALSE),0)+IFERROR(VLOOKUP($B19,'RA4-Tracks_Roads'!$A$11:$BN$18,MATCH(Summary!O$1,'RA4-Tracks_Roads'!$A$9:$BN$9,1),FALSE),0)+IFERROR(VLOOKUP($B19,'RA5-ROM'!$A$11:$BN$18,MATCH(Summary!O$1,'RA5-ROM'!$A$9:$BN$9,1),FALSE),0)+IFERROR(VLOOKUP($B19,'RA6-CHPP'!$A$11:$BN$18,MATCH(Summary!O$1,'RA6-CHPP'!$A$9:$BN$9,1),FALSE),0)+IFERROR(VLOOKUP($B19,'RA7-Mine Infrastructure Area'!$A$11:$BN$18,MATCH(Summary!O$1,'RA7-Mine Infrastructure Area'!$A$9:$BN$9,1),FALSE),0)+IFERROR(VLOOKUP($B19,'RA8-Water Management Structures'!$A$11:$BN$18,MATCH(Summary!O$1,'RA8-Water Management Structures'!$A$9:$BN$9,1),FALSE),0)+IFERROR(VLOOKUP($B19,'RA9-Codisposal Upper'!$A$11:$BN$18,MATCH(Summary!O$1,'RA9-Codisposal Upper'!$A$9:$BN$9,1),FALSE),0)+IFERROR(VLOOKUP($B19,'RA10-Codisposal Slopes'!$A$11:$BN$18,MATCH(Summary!O$1,'RA10-Codisposal Slopes'!$A$9:$BN$9,1),FALSE),0)+IFERROR(VLOOKUP($B19,'IA1-Final Void inc Ramps'!$A$11:$BN$18,MATCH(Summary!O$1,'IA1-Final Void inc Ramps'!$A$9:$BN$9,1),FALSE),0)</f>
        <v>0</v>
      </c>
      <c r="P19" s="47">
        <f>IFERROR(VLOOKUP($B19,'RA1- Elevated Dumps Upper'!$A$11:$BN$18,MATCH(Summary!P$1,'RA1- Elevated Dumps Upper'!$A$9:$BN$9,1),FALSE),0)+IFERROR(VLOOKUP($B19,'RA2-Elevated Dumps Slopes'!$A$11:$BN$18,MATCH(Summary!P$1,'RA2-Elevated Dumps Slopes'!$A$9:$BN$9,1),FALSE),0)+IFERROR(VLOOKUP($B19,'RA3-Backfilled Pits'!$A$11:$BN$18,MATCH(Summary!P$1,'RA3-Backfilled Pits'!$A$9:$BN$9,1),FALSE),0)+IFERROR(VLOOKUP($B19,'RA4-Tracks_Roads'!$A$11:$BN$18,MATCH(Summary!P$1,'RA4-Tracks_Roads'!$A$9:$BN$9,1),FALSE),0)+IFERROR(VLOOKUP($B19,'RA5-ROM'!$A$11:$BN$18,MATCH(Summary!P$1,'RA5-ROM'!$A$9:$BN$9,1),FALSE),0)+IFERROR(VLOOKUP($B19,'RA6-CHPP'!$A$11:$BN$18,MATCH(Summary!P$1,'RA6-CHPP'!$A$9:$BN$9,1),FALSE),0)+IFERROR(VLOOKUP($B19,'RA7-Mine Infrastructure Area'!$A$11:$BN$18,MATCH(Summary!P$1,'RA7-Mine Infrastructure Area'!$A$9:$BN$9,1),FALSE),0)+IFERROR(VLOOKUP($B19,'RA8-Water Management Structures'!$A$11:$BN$18,MATCH(Summary!P$1,'RA8-Water Management Structures'!$A$9:$BN$9,1),FALSE),0)+IFERROR(VLOOKUP($B19,'RA9-Codisposal Upper'!$A$11:$BN$18,MATCH(Summary!P$1,'RA9-Codisposal Upper'!$A$9:$BN$9,1),FALSE),0)+IFERROR(VLOOKUP($B19,'RA10-Codisposal Slopes'!$A$11:$BN$18,MATCH(Summary!P$1,'RA10-Codisposal Slopes'!$A$9:$BN$9,1),FALSE),0)+IFERROR(VLOOKUP($B19,'IA1-Final Void inc Ramps'!$A$11:$BN$18,MATCH(Summary!P$1,'IA1-Final Void inc Ramps'!$A$9:$BN$9,1),FALSE),0)</f>
        <v>0</v>
      </c>
      <c r="Q19" s="47">
        <f>IFERROR(VLOOKUP($B19,'RA1- Elevated Dumps Upper'!$A$11:$BN$18,MATCH(Summary!Q$1,'RA1- Elevated Dumps Upper'!$A$9:$BN$9,1),FALSE),0)+IFERROR(VLOOKUP($B19,'RA2-Elevated Dumps Slopes'!$A$11:$BN$18,MATCH(Summary!Q$1,'RA2-Elevated Dumps Slopes'!$A$9:$BN$9,1),FALSE),0)+IFERROR(VLOOKUP($B19,'RA3-Backfilled Pits'!$A$11:$BN$18,MATCH(Summary!Q$1,'RA3-Backfilled Pits'!$A$9:$BN$9,1),FALSE),0)+IFERROR(VLOOKUP($B19,'RA4-Tracks_Roads'!$A$11:$BN$18,MATCH(Summary!Q$1,'RA4-Tracks_Roads'!$A$9:$BN$9,1),FALSE),0)+IFERROR(VLOOKUP($B19,'RA5-ROM'!$A$11:$BN$18,MATCH(Summary!Q$1,'RA5-ROM'!$A$9:$BN$9,1),FALSE),0)+IFERROR(VLOOKUP($B19,'RA6-CHPP'!$A$11:$BN$18,MATCH(Summary!Q$1,'RA6-CHPP'!$A$9:$BN$9,1),FALSE),0)+IFERROR(VLOOKUP($B19,'RA7-Mine Infrastructure Area'!$A$11:$BN$18,MATCH(Summary!Q$1,'RA7-Mine Infrastructure Area'!$A$9:$BN$9,1),FALSE),0)+IFERROR(VLOOKUP($B19,'RA8-Water Management Structures'!$A$11:$BN$18,MATCH(Summary!Q$1,'RA8-Water Management Structures'!$A$9:$BN$9,1),FALSE),0)+IFERROR(VLOOKUP($B19,'RA9-Codisposal Upper'!$A$11:$BN$18,MATCH(Summary!Q$1,'RA9-Codisposal Upper'!$A$9:$BN$9,1),FALSE),0)+IFERROR(VLOOKUP($B19,'RA10-Codisposal Slopes'!$A$11:$BN$18,MATCH(Summary!Q$1,'RA10-Codisposal Slopes'!$A$9:$BN$9,1),FALSE),0)+IFERROR(VLOOKUP($B19,'IA1-Final Void inc Ramps'!$A$11:$BN$18,MATCH(Summary!Q$1,'IA1-Final Void inc Ramps'!$A$9:$BN$9,1),FALSE),0)</f>
        <v>0</v>
      </c>
      <c r="R19" s="47">
        <f>IFERROR(VLOOKUP($B19,'RA1- Elevated Dumps Upper'!$A$11:$BN$18,MATCH(Summary!R$1,'RA1- Elevated Dumps Upper'!$A$9:$BN$9,1),FALSE),0)+IFERROR(VLOOKUP($B19,'RA2-Elevated Dumps Slopes'!$A$11:$BN$18,MATCH(Summary!R$1,'RA2-Elevated Dumps Slopes'!$A$9:$BN$9,1),FALSE),0)+IFERROR(VLOOKUP($B19,'RA3-Backfilled Pits'!$A$11:$BN$18,MATCH(Summary!R$1,'RA3-Backfilled Pits'!$A$9:$BN$9,1),FALSE),0)+IFERROR(VLOOKUP($B19,'RA4-Tracks_Roads'!$A$11:$BN$18,MATCH(Summary!R$1,'RA4-Tracks_Roads'!$A$9:$BN$9,1),FALSE),0)+IFERROR(VLOOKUP($B19,'RA5-ROM'!$A$11:$BN$18,MATCH(Summary!R$1,'RA5-ROM'!$A$9:$BN$9,1),FALSE),0)+IFERROR(VLOOKUP($B19,'RA6-CHPP'!$A$11:$BN$18,MATCH(Summary!R$1,'RA6-CHPP'!$A$9:$BN$9,1),FALSE),0)+IFERROR(VLOOKUP($B19,'RA7-Mine Infrastructure Area'!$A$11:$BN$18,MATCH(Summary!R$1,'RA7-Mine Infrastructure Area'!$A$9:$BN$9,1),FALSE),0)+IFERROR(VLOOKUP($B19,'RA8-Water Management Structures'!$A$11:$BN$18,MATCH(Summary!R$1,'RA8-Water Management Structures'!$A$9:$BN$9,1),FALSE),0)+IFERROR(VLOOKUP($B19,'RA9-Codisposal Upper'!$A$11:$BN$18,MATCH(Summary!R$1,'RA9-Codisposal Upper'!$A$9:$BN$9,1),FALSE),0)+IFERROR(VLOOKUP($B19,'RA10-Codisposal Slopes'!$A$11:$BN$18,MATCH(Summary!R$1,'RA10-Codisposal Slopes'!$A$9:$BN$9,1),FALSE),0)+IFERROR(VLOOKUP($B19,'IA1-Final Void inc Ramps'!$A$11:$BN$18,MATCH(Summary!R$1,'IA1-Final Void inc Ramps'!$A$9:$BN$9,1),FALSE),0)</f>
        <v>0</v>
      </c>
      <c r="S19" s="47">
        <f>IFERROR(VLOOKUP($B19,'RA1- Elevated Dumps Upper'!$A$11:$BN$18,MATCH(Summary!S$1,'RA1- Elevated Dumps Upper'!$A$9:$BN$9,1),FALSE),0)+IFERROR(VLOOKUP($B19,'RA2-Elevated Dumps Slopes'!$A$11:$BN$18,MATCH(Summary!S$1,'RA2-Elevated Dumps Slopes'!$A$9:$BN$9,1),FALSE),0)+IFERROR(VLOOKUP($B19,'RA3-Backfilled Pits'!$A$11:$BN$18,MATCH(Summary!S$1,'RA3-Backfilled Pits'!$A$9:$BN$9,1),FALSE),0)+IFERROR(VLOOKUP($B19,'RA4-Tracks_Roads'!$A$11:$BN$18,MATCH(Summary!S$1,'RA4-Tracks_Roads'!$A$9:$BN$9,1),FALSE),0)+IFERROR(VLOOKUP($B19,'RA5-ROM'!$A$11:$BN$18,MATCH(Summary!S$1,'RA5-ROM'!$A$9:$BN$9,1),FALSE),0)+IFERROR(VLOOKUP($B19,'RA6-CHPP'!$A$11:$BN$18,MATCH(Summary!S$1,'RA6-CHPP'!$A$9:$BN$9,1),FALSE),0)+IFERROR(VLOOKUP($B19,'RA7-Mine Infrastructure Area'!$A$11:$BN$18,MATCH(Summary!S$1,'RA7-Mine Infrastructure Area'!$A$9:$BN$9,1),FALSE),0)+IFERROR(VLOOKUP($B19,'RA8-Water Management Structures'!$A$11:$BN$18,MATCH(Summary!S$1,'RA8-Water Management Structures'!$A$9:$BN$9,1),FALSE),0)+IFERROR(VLOOKUP($B19,'RA9-Codisposal Upper'!$A$11:$BN$18,MATCH(Summary!S$1,'RA9-Codisposal Upper'!$A$9:$BN$9,1),FALSE),0)+IFERROR(VLOOKUP($B19,'RA10-Codisposal Slopes'!$A$11:$BN$18,MATCH(Summary!S$1,'RA10-Codisposal Slopes'!$A$9:$BN$9,1),FALSE),0)+IFERROR(VLOOKUP($B19,'IA1-Final Void inc Ramps'!$A$11:$BN$18,MATCH(Summary!S$1,'IA1-Final Void inc Ramps'!$A$9:$BN$9,1),FALSE),0)</f>
        <v>0</v>
      </c>
      <c r="T19" s="47">
        <f>IFERROR(VLOOKUP($B19,'RA1- Elevated Dumps Upper'!$A$11:$BN$18,MATCH(Summary!T$1,'RA1- Elevated Dumps Upper'!$A$9:$BN$9,1),FALSE),0)+IFERROR(VLOOKUP($B19,'RA2-Elevated Dumps Slopes'!$A$11:$BN$18,MATCH(Summary!T$1,'RA2-Elevated Dumps Slopes'!$A$9:$BN$9,1),FALSE),0)+IFERROR(VLOOKUP($B19,'RA3-Backfilled Pits'!$A$11:$BN$18,MATCH(Summary!T$1,'RA3-Backfilled Pits'!$A$9:$BN$9,1),FALSE),0)+IFERROR(VLOOKUP($B19,'RA4-Tracks_Roads'!$A$11:$BN$18,MATCH(Summary!T$1,'RA4-Tracks_Roads'!$A$9:$BN$9,1),FALSE),0)+IFERROR(VLOOKUP($B19,'RA5-ROM'!$A$11:$BN$18,MATCH(Summary!T$1,'RA5-ROM'!$A$9:$BN$9,1),FALSE),0)+IFERROR(VLOOKUP($B19,'RA6-CHPP'!$A$11:$BN$18,MATCH(Summary!T$1,'RA6-CHPP'!$A$9:$BN$9,1),FALSE),0)+IFERROR(VLOOKUP($B19,'RA7-Mine Infrastructure Area'!$A$11:$BN$18,MATCH(Summary!T$1,'RA7-Mine Infrastructure Area'!$A$9:$BN$9,1),FALSE),0)+IFERROR(VLOOKUP($B19,'RA8-Water Management Structures'!$A$11:$BN$18,MATCH(Summary!T$1,'RA8-Water Management Structures'!$A$9:$BN$9,1),FALSE),0)+IFERROR(VLOOKUP($B19,'RA9-Codisposal Upper'!$A$11:$BN$18,MATCH(Summary!T$1,'RA9-Codisposal Upper'!$A$9:$BN$9,1),FALSE),0)+IFERROR(VLOOKUP($B19,'RA10-Codisposal Slopes'!$A$11:$BN$18,MATCH(Summary!T$1,'RA10-Codisposal Slopes'!$A$9:$BN$9,1),FALSE),0)+IFERROR(VLOOKUP($B19,'IA1-Final Void inc Ramps'!$A$11:$BN$18,MATCH(Summary!T$1,'IA1-Final Void inc Ramps'!$A$9:$BN$9,1),FALSE),0)</f>
        <v>0</v>
      </c>
      <c r="U19" s="47">
        <f>IFERROR(VLOOKUP($B19,'RA1- Elevated Dumps Upper'!$A$11:$BN$18,MATCH(Summary!U$1,'RA1- Elevated Dumps Upper'!$A$9:$BN$9,1),FALSE),0)+IFERROR(VLOOKUP($B19,'RA2-Elevated Dumps Slopes'!$A$11:$BN$18,MATCH(Summary!U$1,'RA2-Elevated Dumps Slopes'!$A$9:$BN$9,1),FALSE),0)+IFERROR(VLOOKUP($B19,'RA3-Backfilled Pits'!$A$11:$BN$18,MATCH(Summary!U$1,'RA3-Backfilled Pits'!$A$9:$BN$9,1),FALSE),0)+IFERROR(VLOOKUP($B19,'RA4-Tracks_Roads'!$A$11:$BN$18,MATCH(Summary!U$1,'RA4-Tracks_Roads'!$A$9:$BN$9,1),FALSE),0)+IFERROR(VLOOKUP($B19,'RA5-ROM'!$A$11:$BN$18,MATCH(Summary!U$1,'RA5-ROM'!$A$9:$BN$9,1),FALSE),0)+IFERROR(VLOOKUP($B19,'RA6-CHPP'!$A$11:$BN$18,MATCH(Summary!U$1,'RA6-CHPP'!$A$9:$BN$9,1),FALSE),0)+IFERROR(VLOOKUP($B19,'RA7-Mine Infrastructure Area'!$A$11:$BN$18,MATCH(Summary!U$1,'RA7-Mine Infrastructure Area'!$A$9:$BN$9,1),FALSE),0)+IFERROR(VLOOKUP($B19,'RA8-Water Management Structures'!$A$11:$BN$18,MATCH(Summary!U$1,'RA8-Water Management Structures'!$A$9:$BN$9,1),FALSE),0)+IFERROR(VLOOKUP($B19,'RA9-Codisposal Upper'!$A$11:$BN$18,MATCH(Summary!U$1,'RA9-Codisposal Upper'!$A$9:$BN$9,1),FALSE),0)+IFERROR(VLOOKUP($B19,'RA10-Codisposal Slopes'!$A$11:$BN$18,MATCH(Summary!U$1,'RA10-Codisposal Slopes'!$A$9:$BN$9,1),FALSE),0)+IFERROR(VLOOKUP($B19,'IA1-Final Void inc Ramps'!$A$11:$BN$18,MATCH(Summary!U$1,'IA1-Final Void inc Ramps'!$A$9:$BN$9,1),FALSE),0)</f>
        <v>0</v>
      </c>
      <c r="V19" s="47">
        <f>IFERROR(VLOOKUP($B19,'RA1- Elevated Dumps Upper'!$A$11:$BN$18,MATCH(Summary!V$1,'RA1- Elevated Dumps Upper'!$A$9:$BN$9,1),FALSE),0)+IFERROR(VLOOKUP($B19,'RA2-Elevated Dumps Slopes'!$A$11:$BN$18,MATCH(Summary!V$1,'RA2-Elevated Dumps Slopes'!$A$9:$BN$9,1),FALSE),0)+IFERROR(VLOOKUP($B19,'RA3-Backfilled Pits'!$A$11:$BN$18,MATCH(Summary!V$1,'RA3-Backfilled Pits'!$A$9:$BN$9,1),FALSE),0)+IFERROR(VLOOKUP($B19,'RA4-Tracks_Roads'!$A$11:$BN$18,MATCH(Summary!V$1,'RA4-Tracks_Roads'!$A$9:$BN$9,1),FALSE),0)+IFERROR(VLOOKUP($B19,'RA5-ROM'!$A$11:$BN$18,MATCH(Summary!V$1,'RA5-ROM'!$A$9:$BN$9,1),FALSE),0)+IFERROR(VLOOKUP($B19,'RA6-CHPP'!$A$11:$BN$18,MATCH(Summary!V$1,'RA6-CHPP'!$A$9:$BN$9,1),FALSE),0)+IFERROR(VLOOKUP($B19,'RA7-Mine Infrastructure Area'!$A$11:$BN$18,MATCH(Summary!V$1,'RA7-Mine Infrastructure Area'!$A$9:$BN$9,1),FALSE),0)+IFERROR(VLOOKUP($B19,'RA8-Water Management Structures'!$A$11:$BN$18,MATCH(Summary!V$1,'RA8-Water Management Structures'!$A$9:$BN$9,1),FALSE),0)+IFERROR(VLOOKUP($B19,'RA9-Codisposal Upper'!$A$11:$BN$18,MATCH(Summary!V$1,'RA9-Codisposal Upper'!$A$9:$BN$9,1),FALSE),0)+IFERROR(VLOOKUP($B19,'RA10-Codisposal Slopes'!$A$11:$BN$18,MATCH(Summary!V$1,'RA10-Codisposal Slopes'!$A$9:$BN$9,1),FALSE),0)+IFERROR(VLOOKUP($B19,'IA1-Final Void inc Ramps'!$A$11:$BN$18,MATCH(Summary!V$1,'IA1-Final Void inc Ramps'!$A$9:$BN$9,1),FALSE),0)</f>
        <v>0</v>
      </c>
      <c r="W19" s="47">
        <f>IFERROR(VLOOKUP($B19,'RA1- Elevated Dumps Upper'!$A$11:$BN$18,MATCH(Summary!W$1,'RA1- Elevated Dumps Upper'!$A$9:$BN$9,1),FALSE),0)+IFERROR(VLOOKUP($B19,'RA2-Elevated Dumps Slopes'!$A$11:$BN$18,MATCH(Summary!W$1,'RA2-Elevated Dumps Slopes'!$A$9:$BN$9,1),FALSE),0)+IFERROR(VLOOKUP($B19,'RA3-Backfilled Pits'!$A$11:$BN$18,MATCH(Summary!W$1,'RA3-Backfilled Pits'!$A$9:$BN$9,1),FALSE),0)+IFERROR(VLOOKUP($B19,'RA4-Tracks_Roads'!$A$11:$BN$18,MATCH(Summary!W$1,'RA4-Tracks_Roads'!$A$9:$BN$9,1),FALSE),0)+IFERROR(VLOOKUP($B19,'RA5-ROM'!$A$11:$BN$18,MATCH(Summary!W$1,'RA5-ROM'!$A$9:$BN$9,1),FALSE),0)+IFERROR(VLOOKUP($B19,'RA6-CHPP'!$A$11:$BN$18,MATCH(Summary!W$1,'RA6-CHPP'!$A$9:$BN$9,1),FALSE),0)+IFERROR(VLOOKUP($B19,'RA7-Mine Infrastructure Area'!$A$11:$BN$18,MATCH(Summary!W$1,'RA7-Mine Infrastructure Area'!$A$9:$BN$9,1),FALSE),0)+IFERROR(VLOOKUP($B19,'RA8-Water Management Structures'!$A$11:$BN$18,MATCH(Summary!W$1,'RA8-Water Management Structures'!$A$9:$BN$9,1),FALSE),0)+IFERROR(VLOOKUP($B19,'RA9-Codisposal Upper'!$A$11:$BN$18,MATCH(Summary!W$1,'RA9-Codisposal Upper'!$A$9:$BN$9,1),FALSE),0)+IFERROR(VLOOKUP($B19,'RA10-Codisposal Slopes'!$A$11:$BN$18,MATCH(Summary!W$1,'RA10-Codisposal Slopes'!$A$9:$BN$9,1),FALSE),0)+IFERROR(VLOOKUP($B19,'IA1-Final Void inc Ramps'!$A$11:$BN$18,MATCH(Summary!W$1,'IA1-Final Void inc Ramps'!$A$9:$BN$9,1),FALSE),0)</f>
        <v>0</v>
      </c>
      <c r="X19" s="47">
        <f>IFERROR(VLOOKUP($B19,'RA1- Elevated Dumps Upper'!$A$11:$BN$18,MATCH(Summary!X$1,'RA1- Elevated Dumps Upper'!$A$9:$BN$9,1),FALSE),0)+IFERROR(VLOOKUP($B19,'RA2-Elevated Dumps Slopes'!$A$11:$BN$18,MATCH(Summary!X$1,'RA2-Elevated Dumps Slopes'!$A$9:$BN$9,1),FALSE),0)+IFERROR(VLOOKUP($B19,'RA3-Backfilled Pits'!$A$11:$BN$18,MATCH(Summary!X$1,'RA3-Backfilled Pits'!$A$9:$BN$9,1),FALSE),0)+IFERROR(VLOOKUP($B19,'RA4-Tracks_Roads'!$A$11:$BN$18,MATCH(Summary!X$1,'RA4-Tracks_Roads'!$A$9:$BN$9,1),FALSE),0)+IFERROR(VLOOKUP($B19,'RA5-ROM'!$A$11:$BN$18,MATCH(Summary!X$1,'RA5-ROM'!$A$9:$BN$9,1),FALSE),0)+IFERROR(VLOOKUP($B19,'RA6-CHPP'!$A$11:$BN$18,MATCH(Summary!X$1,'RA6-CHPP'!$A$9:$BN$9,1),FALSE),0)+IFERROR(VLOOKUP($B19,'RA7-Mine Infrastructure Area'!$A$11:$BN$18,MATCH(Summary!X$1,'RA7-Mine Infrastructure Area'!$A$9:$BN$9,1),FALSE),0)+IFERROR(VLOOKUP($B19,'RA8-Water Management Structures'!$A$11:$BN$18,MATCH(Summary!X$1,'RA8-Water Management Structures'!$A$9:$BN$9,1),FALSE),0)+IFERROR(VLOOKUP($B19,'RA9-Codisposal Upper'!$A$11:$BN$18,MATCH(Summary!X$1,'RA9-Codisposal Upper'!$A$9:$BN$9,1),FALSE),0)+IFERROR(VLOOKUP($B19,'RA10-Codisposal Slopes'!$A$11:$BN$18,MATCH(Summary!X$1,'RA10-Codisposal Slopes'!$A$9:$BN$9,1),FALSE),0)+IFERROR(VLOOKUP($B19,'IA1-Final Void inc Ramps'!$A$11:$BN$18,MATCH(Summary!X$1,'IA1-Final Void inc Ramps'!$A$9:$BN$9,1),FALSE),0)</f>
        <v>0</v>
      </c>
      <c r="Y19" s="47">
        <f>IFERROR(VLOOKUP($B19,'RA1- Elevated Dumps Upper'!$A$11:$BN$18,MATCH(Summary!Y$1,'RA1- Elevated Dumps Upper'!$A$9:$BN$9,1),FALSE),0)+IFERROR(VLOOKUP($B19,'RA2-Elevated Dumps Slopes'!$A$11:$BN$18,MATCH(Summary!Y$1,'RA2-Elevated Dumps Slopes'!$A$9:$BN$9,1),FALSE),0)+IFERROR(VLOOKUP($B19,'RA3-Backfilled Pits'!$A$11:$BN$18,MATCH(Summary!Y$1,'RA3-Backfilled Pits'!$A$9:$BN$9,1),FALSE),0)+IFERROR(VLOOKUP($B19,'RA4-Tracks_Roads'!$A$11:$BN$18,MATCH(Summary!Y$1,'RA4-Tracks_Roads'!$A$9:$BN$9,1),FALSE),0)+IFERROR(VLOOKUP($B19,'RA5-ROM'!$A$11:$BN$18,MATCH(Summary!Y$1,'RA5-ROM'!$A$9:$BN$9,1),FALSE),0)+IFERROR(VLOOKUP($B19,'RA6-CHPP'!$A$11:$BN$18,MATCH(Summary!Y$1,'RA6-CHPP'!$A$9:$BN$9,1),FALSE),0)+IFERROR(VLOOKUP($B19,'RA7-Mine Infrastructure Area'!$A$11:$BN$18,MATCH(Summary!Y$1,'RA7-Mine Infrastructure Area'!$A$9:$BN$9,1),FALSE),0)+IFERROR(VLOOKUP($B19,'RA8-Water Management Structures'!$A$11:$BN$18,MATCH(Summary!Y$1,'RA8-Water Management Structures'!$A$9:$BN$9,1),FALSE),0)+IFERROR(VLOOKUP($B19,'RA9-Codisposal Upper'!$A$11:$BN$18,MATCH(Summary!Y$1,'RA9-Codisposal Upper'!$A$9:$BN$9,1),FALSE),0)+IFERROR(VLOOKUP($B19,'RA10-Codisposal Slopes'!$A$11:$BN$18,MATCH(Summary!Y$1,'RA10-Codisposal Slopes'!$A$9:$BN$9,1),FALSE),0)+IFERROR(VLOOKUP($B19,'IA1-Final Void inc Ramps'!$A$11:$BN$18,MATCH(Summary!Y$1,'IA1-Final Void inc Ramps'!$A$9:$BN$9,1),FALSE),0)</f>
        <v>0</v>
      </c>
      <c r="Z19" s="47">
        <f>IFERROR(VLOOKUP($B19,'RA1- Elevated Dumps Upper'!$A$11:$BN$18,MATCH(Summary!Z$1,'RA1- Elevated Dumps Upper'!$A$9:$BN$9,1),FALSE),0)+IFERROR(VLOOKUP($B19,'RA2-Elevated Dumps Slopes'!$A$11:$BN$18,MATCH(Summary!Z$1,'RA2-Elevated Dumps Slopes'!$A$9:$BN$9,1),FALSE),0)+IFERROR(VLOOKUP($B19,'RA3-Backfilled Pits'!$A$11:$BN$18,MATCH(Summary!Z$1,'RA3-Backfilled Pits'!$A$9:$BN$9,1),FALSE),0)+IFERROR(VLOOKUP($B19,'RA4-Tracks_Roads'!$A$11:$BN$18,MATCH(Summary!Z$1,'RA4-Tracks_Roads'!$A$9:$BN$9,1),FALSE),0)+IFERROR(VLOOKUP($B19,'RA5-ROM'!$A$11:$BN$18,MATCH(Summary!Z$1,'RA5-ROM'!$A$9:$BN$9,1),FALSE),0)+IFERROR(VLOOKUP($B19,'RA6-CHPP'!$A$11:$BN$18,MATCH(Summary!Z$1,'RA6-CHPP'!$A$9:$BN$9,1),FALSE),0)+IFERROR(VLOOKUP($B19,'RA7-Mine Infrastructure Area'!$A$11:$BN$18,MATCH(Summary!Z$1,'RA7-Mine Infrastructure Area'!$A$9:$BN$9,1),FALSE),0)+IFERROR(VLOOKUP($B19,'RA8-Water Management Structures'!$A$11:$BN$18,MATCH(Summary!Z$1,'RA8-Water Management Structures'!$A$9:$BN$9,1),FALSE),0)+IFERROR(VLOOKUP($B19,'RA9-Codisposal Upper'!$A$11:$BN$18,MATCH(Summary!Z$1,'RA9-Codisposal Upper'!$A$9:$BN$9,1),FALSE),0)+IFERROR(VLOOKUP($B19,'RA10-Codisposal Slopes'!$A$11:$BN$18,MATCH(Summary!Z$1,'RA10-Codisposal Slopes'!$A$9:$BN$9,1),FALSE),0)+IFERROR(VLOOKUP($B19,'IA1-Final Void inc Ramps'!$A$11:$BN$18,MATCH(Summary!Z$1,'IA1-Final Void inc Ramps'!$A$9:$BN$9,1),FALSE),0)</f>
        <v>0</v>
      </c>
      <c r="AA19" s="47">
        <f>IFERROR(VLOOKUP($B19,'RA1- Elevated Dumps Upper'!$A$11:$BN$18,MATCH(Summary!AA$1,'RA1- Elevated Dumps Upper'!$A$9:$BN$9,1),FALSE),0)+IFERROR(VLOOKUP($B19,'RA2-Elevated Dumps Slopes'!$A$11:$BN$18,MATCH(Summary!AA$1,'RA2-Elevated Dumps Slopes'!$A$9:$BN$9,1),FALSE),0)+IFERROR(VLOOKUP($B19,'RA3-Backfilled Pits'!$A$11:$BN$18,MATCH(Summary!AA$1,'RA3-Backfilled Pits'!$A$9:$BN$9,1),FALSE),0)+IFERROR(VLOOKUP($B19,'RA4-Tracks_Roads'!$A$11:$BN$18,MATCH(Summary!AA$1,'RA4-Tracks_Roads'!$A$9:$BN$9,1),FALSE),0)+IFERROR(VLOOKUP($B19,'RA5-ROM'!$A$11:$BN$18,MATCH(Summary!AA$1,'RA5-ROM'!$A$9:$BN$9,1),FALSE),0)+IFERROR(VLOOKUP($B19,'RA6-CHPP'!$A$11:$BN$18,MATCH(Summary!AA$1,'RA6-CHPP'!$A$9:$BN$9,1),FALSE),0)+IFERROR(VLOOKUP($B19,'RA7-Mine Infrastructure Area'!$A$11:$BN$18,MATCH(Summary!AA$1,'RA7-Mine Infrastructure Area'!$A$9:$BN$9,1),FALSE),0)+IFERROR(VLOOKUP($B19,'RA8-Water Management Structures'!$A$11:$BN$18,MATCH(Summary!AA$1,'RA8-Water Management Structures'!$A$9:$BN$9,1),FALSE),0)+IFERROR(VLOOKUP($B19,'RA9-Codisposal Upper'!$A$11:$BN$18,MATCH(Summary!AA$1,'RA9-Codisposal Upper'!$A$9:$BN$9,1),FALSE),0)+IFERROR(VLOOKUP($B19,'RA10-Codisposal Slopes'!$A$11:$BN$18,MATCH(Summary!AA$1,'RA10-Codisposal Slopes'!$A$9:$BN$9,1),FALSE),0)+IFERROR(VLOOKUP($B19,'IA1-Final Void inc Ramps'!$A$11:$BN$18,MATCH(Summary!AA$1,'IA1-Final Void inc Ramps'!$A$9:$BN$9,1),FALSE),0)</f>
        <v>0</v>
      </c>
      <c r="AB19" s="47">
        <f>IFERROR(VLOOKUP($B19,'RA1- Elevated Dumps Upper'!$A$11:$BN$18,MATCH(Summary!AB$1,'RA1- Elevated Dumps Upper'!$A$9:$BN$9,1),FALSE),0)+IFERROR(VLOOKUP($B19,'RA2-Elevated Dumps Slopes'!$A$11:$BN$18,MATCH(Summary!AB$1,'RA2-Elevated Dumps Slopes'!$A$9:$BN$9,1),FALSE),0)+IFERROR(VLOOKUP($B19,'RA3-Backfilled Pits'!$A$11:$BN$18,MATCH(Summary!AB$1,'RA3-Backfilled Pits'!$A$9:$BN$9,1),FALSE),0)+IFERROR(VLOOKUP($B19,'RA4-Tracks_Roads'!$A$11:$BN$18,MATCH(Summary!AB$1,'RA4-Tracks_Roads'!$A$9:$BN$9,1),FALSE),0)+IFERROR(VLOOKUP($B19,'RA5-ROM'!$A$11:$BN$18,MATCH(Summary!AB$1,'RA5-ROM'!$A$9:$BN$9,1),FALSE),0)+IFERROR(VLOOKUP($B19,'RA6-CHPP'!$A$11:$BN$18,MATCH(Summary!AB$1,'RA6-CHPP'!$A$9:$BN$9,1),FALSE),0)+IFERROR(VLOOKUP($B19,'RA7-Mine Infrastructure Area'!$A$11:$BN$18,MATCH(Summary!AB$1,'RA7-Mine Infrastructure Area'!$A$9:$BN$9,1),FALSE),0)+IFERROR(VLOOKUP($B19,'RA8-Water Management Structures'!$A$11:$BN$18,MATCH(Summary!AB$1,'RA8-Water Management Structures'!$A$9:$BN$9,1),FALSE),0)+IFERROR(VLOOKUP($B19,'RA9-Codisposal Upper'!$A$11:$BN$18,MATCH(Summary!AB$1,'RA9-Codisposal Upper'!$A$9:$BN$9,1),FALSE),0)+IFERROR(VLOOKUP($B19,'RA10-Codisposal Slopes'!$A$11:$BN$18,MATCH(Summary!AB$1,'RA10-Codisposal Slopes'!$A$9:$BN$9,1),FALSE),0)+IFERROR(VLOOKUP($B19,'IA1-Final Void inc Ramps'!$A$11:$BN$18,MATCH(Summary!AB$1,'IA1-Final Void inc Ramps'!$A$9:$BN$9,1),FALSE),0)</f>
        <v>0</v>
      </c>
      <c r="AC19" s="47">
        <f>IFERROR(VLOOKUP($B19,'RA1- Elevated Dumps Upper'!$A$11:$BN$18,MATCH(Summary!AC$1,'RA1- Elevated Dumps Upper'!$A$9:$BN$9,1),FALSE),0)+IFERROR(VLOOKUP($B19,'RA2-Elevated Dumps Slopes'!$A$11:$BN$18,MATCH(Summary!AC$1,'RA2-Elevated Dumps Slopes'!$A$9:$BN$9,1),FALSE),0)+IFERROR(VLOOKUP($B19,'RA3-Backfilled Pits'!$A$11:$BN$18,MATCH(Summary!AC$1,'RA3-Backfilled Pits'!$A$9:$BN$9,1),FALSE),0)+IFERROR(VLOOKUP($B19,'RA4-Tracks_Roads'!$A$11:$BN$18,MATCH(Summary!AC$1,'RA4-Tracks_Roads'!$A$9:$BN$9,1),FALSE),0)+IFERROR(VLOOKUP($B19,'RA5-ROM'!$A$11:$BN$18,MATCH(Summary!AC$1,'RA5-ROM'!$A$9:$BN$9,1),FALSE),0)+IFERROR(VLOOKUP($B19,'RA6-CHPP'!$A$11:$BN$18,MATCH(Summary!AC$1,'RA6-CHPP'!$A$9:$BN$9,1),FALSE),0)+IFERROR(VLOOKUP($B19,'RA7-Mine Infrastructure Area'!$A$11:$BN$18,MATCH(Summary!AC$1,'RA7-Mine Infrastructure Area'!$A$9:$BN$9,1),FALSE),0)+IFERROR(VLOOKUP($B19,'RA8-Water Management Structures'!$A$11:$BN$18,MATCH(Summary!AC$1,'RA8-Water Management Structures'!$A$9:$BN$9,1),FALSE),0)+IFERROR(VLOOKUP($B19,'RA9-Codisposal Upper'!$A$11:$BN$18,MATCH(Summary!AC$1,'RA9-Codisposal Upper'!$A$9:$BN$9,1),FALSE),0)+IFERROR(VLOOKUP($B19,'RA10-Codisposal Slopes'!$A$11:$BN$18,MATCH(Summary!AC$1,'RA10-Codisposal Slopes'!$A$9:$BN$9,1),FALSE),0)+IFERROR(VLOOKUP($B19,'IA1-Final Void inc Ramps'!$A$11:$BN$18,MATCH(Summary!AC$1,'IA1-Final Void inc Ramps'!$A$9:$BN$9,1),FALSE),0)</f>
        <v>0</v>
      </c>
      <c r="AD19" s="47">
        <f>IFERROR(VLOOKUP($B19,'RA1- Elevated Dumps Upper'!$A$11:$BN$18,MATCH(Summary!AD$1,'RA1- Elevated Dumps Upper'!$A$9:$BN$9,1),FALSE),0)+IFERROR(VLOOKUP($B19,'RA2-Elevated Dumps Slopes'!$A$11:$BN$18,MATCH(Summary!AD$1,'RA2-Elevated Dumps Slopes'!$A$9:$BN$9,1),FALSE),0)+IFERROR(VLOOKUP($B19,'RA3-Backfilled Pits'!$A$11:$BN$18,MATCH(Summary!AD$1,'RA3-Backfilled Pits'!$A$9:$BN$9,1),FALSE),0)+IFERROR(VLOOKUP($B19,'RA4-Tracks_Roads'!$A$11:$BN$18,MATCH(Summary!AD$1,'RA4-Tracks_Roads'!$A$9:$BN$9,1),FALSE),0)+IFERROR(VLOOKUP($B19,'RA5-ROM'!$A$11:$BN$18,MATCH(Summary!AD$1,'RA5-ROM'!$A$9:$BN$9,1),FALSE),0)+IFERROR(VLOOKUP($B19,'RA6-CHPP'!$A$11:$BN$18,MATCH(Summary!AD$1,'RA6-CHPP'!$A$9:$BN$9,1),FALSE),0)+IFERROR(VLOOKUP($B19,'RA7-Mine Infrastructure Area'!$A$11:$BN$18,MATCH(Summary!AD$1,'RA7-Mine Infrastructure Area'!$A$9:$BN$9,1),FALSE),0)+IFERROR(VLOOKUP($B19,'RA8-Water Management Structures'!$A$11:$BN$18,MATCH(Summary!AD$1,'RA8-Water Management Structures'!$A$9:$BN$9,1),FALSE),0)+IFERROR(VLOOKUP($B19,'RA9-Codisposal Upper'!$A$11:$BN$18,MATCH(Summary!AD$1,'RA9-Codisposal Upper'!$A$9:$BN$9,1),FALSE),0)+IFERROR(VLOOKUP($B19,'RA10-Codisposal Slopes'!$A$11:$BN$18,MATCH(Summary!AD$1,'RA10-Codisposal Slopes'!$A$9:$BN$9,1),FALSE),0)+IFERROR(VLOOKUP($B19,'IA1-Final Void inc Ramps'!$A$11:$BN$18,MATCH(Summary!AD$1,'IA1-Final Void inc Ramps'!$A$9:$BN$9,1),FALSE),0)</f>
        <v>0</v>
      </c>
      <c r="AE19" s="47">
        <f>IFERROR(VLOOKUP($B19,'RA1- Elevated Dumps Upper'!$A$11:$BN$18,MATCH(Summary!AE$1,'RA1- Elevated Dumps Upper'!$A$9:$BN$9,1),FALSE),0)+IFERROR(VLOOKUP($B19,'RA2-Elevated Dumps Slopes'!$A$11:$BN$18,MATCH(Summary!AE$1,'RA2-Elevated Dumps Slopes'!$A$9:$BN$9,1),FALSE),0)+IFERROR(VLOOKUP($B19,'RA3-Backfilled Pits'!$A$11:$BN$18,MATCH(Summary!AE$1,'RA3-Backfilled Pits'!$A$9:$BN$9,1),FALSE),0)+IFERROR(VLOOKUP($B19,'RA4-Tracks_Roads'!$A$11:$BN$18,MATCH(Summary!AE$1,'RA4-Tracks_Roads'!$A$9:$BN$9,1),FALSE),0)+IFERROR(VLOOKUP($B19,'RA5-ROM'!$A$11:$BN$18,MATCH(Summary!AE$1,'RA5-ROM'!$A$9:$BN$9,1),FALSE),0)+IFERROR(VLOOKUP($B19,'RA6-CHPP'!$A$11:$BN$18,MATCH(Summary!AE$1,'RA6-CHPP'!$A$9:$BN$9,1),FALSE),0)+IFERROR(VLOOKUP($B19,'RA7-Mine Infrastructure Area'!$A$11:$BN$18,MATCH(Summary!AE$1,'RA7-Mine Infrastructure Area'!$A$9:$BN$9,1),FALSE),0)+IFERROR(VLOOKUP($B19,'RA8-Water Management Structures'!$A$11:$BN$18,MATCH(Summary!AE$1,'RA8-Water Management Structures'!$A$9:$BN$9,1),FALSE),0)+IFERROR(VLOOKUP($B19,'RA9-Codisposal Upper'!$A$11:$BN$18,MATCH(Summary!AE$1,'RA9-Codisposal Upper'!$A$9:$BN$9,1),FALSE),0)+IFERROR(VLOOKUP($B19,'RA10-Codisposal Slopes'!$A$11:$BN$18,MATCH(Summary!AE$1,'RA10-Codisposal Slopes'!$A$9:$BN$9,1),FALSE),0)+IFERROR(VLOOKUP($B19,'IA1-Final Void inc Ramps'!$A$11:$BN$18,MATCH(Summary!AE$1,'IA1-Final Void inc Ramps'!$A$9:$BN$9,1),FALSE),0)</f>
        <v>0</v>
      </c>
      <c r="AF19" s="47">
        <f>IFERROR(VLOOKUP($B19,'RA1- Elevated Dumps Upper'!$A$11:$BN$18,MATCH(Summary!AF$1,'RA1- Elevated Dumps Upper'!$A$9:$BN$9,1),FALSE),0)+IFERROR(VLOOKUP($B19,'RA2-Elevated Dumps Slopes'!$A$11:$BN$18,MATCH(Summary!AF$1,'RA2-Elevated Dumps Slopes'!$A$9:$BN$9,1),FALSE),0)+IFERROR(VLOOKUP($B19,'RA3-Backfilled Pits'!$A$11:$BN$18,MATCH(Summary!AF$1,'RA3-Backfilled Pits'!$A$9:$BN$9,1),FALSE),0)+IFERROR(VLOOKUP($B19,'RA4-Tracks_Roads'!$A$11:$BN$18,MATCH(Summary!AF$1,'RA4-Tracks_Roads'!$A$9:$BN$9,1),FALSE),0)+IFERROR(VLOOKUP($B19,'RA5-ROM'!$A$11:$BN$18,MATCH(Summary!AF$1,'RA5-ROM'!$A$9:$BN$9,1),FALSE),0)+IFERROR(VLOOKUP($B19,'RA6-CHPP'!$A$11:$BN$18,MATCH(Summary!AF$1,'RA6-CHPP'!$A$9:$BN$9,1),FALSE),0)+IFERROR(VLOOKUP($B19,'RA7-Mine Infrastructure Area'!$A$11:$BN$18,MATCH(Summary!AF$1,'RA7-Mine Infrastructure Area'!$A$9:$BN$9,1),FALSE),0)+IFERROR(VLOOKUP($B19,'RA8-Water Management Structures'!$A$11:$BN$18,MATCH(Summary!AF$1,'RA8-Water Management Structures'!$A$9:$BN$9,1),FALSE),0)+IFERROR(VLOOKUP($B19,'RA9-Codisposal Upper'!$A$11:$BN$18,MATCH(Summary!AF$1,'RA9-Codisposal Upper'!$A$9:$BN$9,1),FALSE),0)+IFERROR(VLOOKUP($B19,'RA10-Codisposal Slopes'!$A$11:$BN$18,MATCH(Summary!AF$1,'RA10-Codisposal Slopes'!$A$9:$BN$9,1),FALSE),0)+IFERROR(VLOOKUP($B19,'IA1-Final Void inc Ramps'!$A$11:$BN$18,MATCH(Summary!AF$1,'IA1-Final Void inc Ramps'!$A$9:$BN$9,1),FALSE),0)</f>
        <v>0</v>
      </c>
      <c r="AG19" s="47">
        <f>IFERROR(VLOOKUP($B19,'RA1- Elevated Dumps Upper'!$A$11:$BN$18,MATCH(Summary!AG$1,'RA1- Elevated Dumps Upper'!$A$9:$BN$9,1),FALSE),0)+IFERROR(VLOOKUP($B19,'RA2-Elevated Dumps Slopes'!$A$11:$BN$18,MATCH(Summary!AG$1,'RA2-Elevated Dumps Slopes'!$A$9:$BN$9,1),FALSE),0)+IFERROR(VLOOKUP($B19,'RA3-Backfilled Pits'!$A$11:$BN$18,MATCH(Summary!AG$1,'RA3-Backfilled Pits'!$A$9:$BN$9,1),FALSE),0)+IFERROR(VLOOKUP($B19,'RA4-Tracks_Roads'!$A$11:$BN$18,MATCH(Summary!AG$1,'RA4-Tracks_Roads'!$A$9:$BN$9,1),FALSE),0)+IFERROR(VLOOKUP($B19,'RA5-ROM'!$A$11:$BN$18,MATCH(Summary!AG$1,'RA5-ROM'!$A$9:$BN$9,1),FALSE),0)+IFERROR(VLOOKUP($B19,'RA6-CHPP'!$A$11:$BN$18,MATCH(Summary!AG$1,'RA6-CHPP'!$A$9:$BN$9,1),FALSE),0)+IFERROR(VLOOKUP($B19,'RA7-Mine Infrastructure Area'!$A$11:$BN$18,MATCH(Summary!AG$1,'RA7-Mine Infrastructure Area'!$A$9:$BN$9,1),FALSE),0)+IFERROR(VLOOKUP($B19,'RA8-Water Management Structures'!$A$11:$BN$18,MATCH(Summary!AG$1,'RA8-Water Management Structures'!$A$9:$BN$9,1),FALSE),0)+IFERROR(VLOOKUP($B19,'RA9-Codisposal Upper'!$A$11:$BN$18,MATCH(Summary!AG$1,'RA9-Codisposal Upper'!$A$9:$BN$9,1),FALSE),0)+IFERROR(VLOOKUP($B19,'RA10-Codisposal Slopes'!$A$11:$BN$18,MATCH(Summary!AG$1,'RA10-Codisposal Slopes'!$A$9:$BN$9,1),FALSE),0)+IFERROR(VLOOKUP($B19,'IA1-Final Void inc Ramps'!$A$11:$BN$18,MATCH(Summary!AG$1,'IA1-Final Void inc Ramps'!$A$9:$BN$9,1),FALSE),0)</f>
        <v>0</v>
      </c>
      <c r="AH19" s="47">
        <f>IFERROR(VLOOKUP($B19,'RA1- Elevated Dumps Upper'!$A$11:$BN$18,MATCH(Summary!AH$1,'RA1- Elevated Dumps Upper'!$A$9:$BN$9,1),FALSE),0)+IFERROR(VLOOKUP($B19,'RA2-Elevated Dumps Slopes'!$A$11:$BN$18,MATCH(Summary!AH$1,'RA2-Elevated Dumps Slopes'!$A$9:$BN$9,1),FALSE),0)+IFERROR(VLOOKUP($B19,'RA3-Backfilled Pits'!$A$11:$BN$18,MATCH(Summary!AH$1,'RA3-Backfilled Pits'!$A$9:$BN$9,1),FALSE),0)+IFERROR(VLOOKUP($B19,'RA4-Tracks_Roads'!$A$11:$BN$18,MATCH(Summary!AH$1,'RA4-Tracks_Roads'!$A$9:$BN$9,1),FALSE),0)+IFERROR(VLOOKUP($B19,'RA5-ROM'!$A$11:$BN$18,MATCH(Summary!AH$1,'RA5-ROM'!$A$9:$BN$9,1),FALSE),0)+IFERROR(VLOOKUP($B19,'RA6-CHPP'!$A$11:$BN$18,MATCH(Summary!AH$1,'RA6-CHPP'!$A$9:$BN$9,1),FALSE),0)+IFERROR(VLOOKUP($B19,'RA7-Mine Infrastructure Area'!$A$11:$BN$18,MATCH(Summary!AH$1,'RA7-Mine Infrastructure Area'!$A$9:$BN$9,1),FALSE),0)+IFERROR(VLOOKUP($B19,'RA8-Water Management Structures'!$A$11:$BN$18,MATCH(Summary!AH$1,'RA8-Water Management Structures'!$A$9:$BN$9,1),FALSE),0)+IFERROR(VLOOKUP($B19,'RA9-Codisposal Upper'!$A$11:$BN$18,MATCH(Summary!AH$1,'RA9-Codisposal Upper'!$A$9:$BN$9,1),FALSE),0)+IFERROR(VLOOKUP($B19,'RA10-Codisposal Slopes'!$A$11:$BN$18,MATCH(Summary!AH$1,'RA10-Codisposal Slopes'!$A$9:$BN$9,1),FALSE),0)+IFERROR(VLOOKUP($B19,'IA1-Final Void inc Ramps'!$A$11:$BN$18,MATCH(Summary!AH$1,'IA1-Final Void inc Ramps'!$A$9:$BN$9,1),FALSE),0)</f>
        <v>0</v>
      </c>
      <c r="AI19" s="47">
        <f>IFERROR(VLOOKUP($B19,'RA1- Elevated Dumps Upper'!$A$11:$BN$18,MATCH(Summary!AI$1,'RA1- Elevated Dumps Upper'!$A$9:$BN$9,1),FALSE),0)+IFERROR(VLOOKUP($B19,'RA2-Elevated Dumps Slopes'!$A$11:$BN$18,MATCH(Summary!AI$1,'RA2-Elevated Dumps Slopes'!$A$9:$BN$9,1),FALSE),0)+IFERROR(VLOOKUP($B19,'RA3-Backfilled Pits'!$A$11:$BN$18,MATCH(Summary!AI$1,'RA3-Backfilled Pits'!$A$9:$BN$9,1),FALSE),0)+IFERROR(VLOOKUP($B19,'RA4-Tracks_Roads'!$A$11:$BN$18,MATCH(Summary!AI$1,'RA4-Tracks_Roads'!$A$9:$BN$9,1),FALSE),0)+IFERROR(VLOOKUP($B19,'RA5-ROM'!$A$11:$BN$18,MATCH(Summary!AI$1,'RA5-ROM'!$A$9:$BN$9,1),FALSE),0)+IFERROR(VLOOKUP($B19,'RA6-CHPP'!$A$11:$BN$18,MATCH(Summary!AI$1,'RA6-CHPP'!$A$9:$BN$9,1),FALSE),0)+IFERROR(VLOOKUP($B19,'RA7-Mine Infrastructure Area'!$A$11:$BN$18,MATCH(Summary!AI$1,'RA7-Mine Infrastructure Area'!$A$9:$BN$9,1),FALSE),0)+IFERROR(VLOOKUP($B19,'RA8-Water Management Structures'!$A$11:$BN$18,MATCH(Summary!AI$1,'RA8-Water Management Structures'!$A$9:$BN$9,1),FALSE),0)+IFERROR(VLOOKUP($B19,'RA9-Codisposal Upper'!$A$11:$BN$18,MATCH(Summary!AI$1,'RA9-Codisposal Upper'!$A$9:$BN$9,1),FALSE),0)+IFERROR(VLOOKUP($B19,'RA10-Codisposal Slopes'!$A$11:$BN$18,MATCH(Summary!AI$1,'RA10-Codisposal Slopes'!$A$9:$BN$9,1),FALSE),0)+IFERROR(VLOOKUP($B19,'IA1-Final Void inc Ramps'!$A$11:$BN$18,MATCH(Summary!AI$1,'IA1-Final Void inc Ramps'!$A$9:$BN$9,1),FALSE),0)</f>
        <v>314</v>
      </c>
      <c r="AJ19" s="47">
        <f>IFERROR(VLOOKUP($B19,'RA1- Elevated Dumps Upper'!$A$11:$BN$18,MATCH(Summary!AJ$1,'RA1- Elevated Dumps Upper'!$A$9:$BN$9,1),FALSE),0)+IFERROR(VLOOKUP($B19,'RA2-Elevated Dumps Slopes'!$A$11:$BN$18,MATCH(Summary!AJ$1,'RA2-Elevated Dumps Slopes'!$A$9:$BN$9,1),FALSE),0)+IFERROR(VLOOKUP($B19,'RA3-Backfilled Pits'!$A$11:$BN$18,MATCH(Summary!AJ$1,'RA3-Backfilled Pits'!$A$9:$BN$9,1),FALSE),0)+IFERROR(VLOOKUP($B19,'RA4-Tracks_Roads'!$A$11:$BN$18,MATCH(Summary!AJ$1,'RA4-Tracks_Roads'!$A$9:$BN$9,1),FALSE),0)+IFERROR(VLOOKUP($B19,'RA5-ROM'!$A$11:$BN$18,MATCH(Summary!AJ$1,'RA5-ROM'!$A$9:$BN$9,1),FALSE),0)+IFERROR(VLOOKUP($B19,'RA6-CHPP'!$A$11:$BN$18,MATCH(Summary!AJ$1,'RA6-CHPP'!$A$9:$BN$9,1),FALSE),0)+IFERROR(VLOOKUP($B19,'RA7-Mine Infrastructure Area'!$A$11:$BN$18,MATCH(Summary!AJ$1,'RA7-Mine Infrastructure Area'!$A$9:$BN$9,1),FALSE),0)+IFERROR(VLOOKUP($B19,'RA8-Water Management Structures'!$A$11:$BN$18,MATCH(Summary!AJ$1,'RA8-Water Management Structures'!$A$9:$BN$9,1),FALSE),0)+IFERROR(VLOOKUP($B19,'RA9-Codisposal Upper'!$A$11:$BN$18,MATCH(Summary!AJ$1,'RA9-Codisposal Upper'!$A$9:$BN$9,1),FALSE),0)+IFERROR(VLOOKUP($B19,'RA10-Codisposal Slopes'!$A$11:$BN$18,MATCH(Summary!AJ$1,'RA10-Codisposal Slopes'!$A$9:$BN$9,1),FALSE),0)+IFERROR(VLOOKUP($B19,'IA1-Final Void inc Ramps'!$A$11:$BN$18,MATCH(Summary!AJ$1,'IA1-Final Void inc Ramps'!$A$9:$BN$9,1),FALSE),0)</f>
        <v>314</v>
      </c>
      <c r="AK19" s="47">
        <f>IFERROR(VLOOKUP($B19,'RA1- Elevated Dumps Upper'!$A$11:$BN$18,MATCH(Summary!AK$1,'RA1- Elevated Dumps Upper'!$A$9:$BN$9,1),FALSE),0)+IFERROR(VLOOKUP($B19,'RA2-Elevated Dumps Slopes'!$A$11:$BN$18,MATCH(Summary!AK$1,'RA2-Elevated Dumps Slopes'!$A$9:$BN$9,1),FALSE),0)+IFERROR(VLOOKUP($B19,'RA3-Backfilled Pits'!$A$11:$BN$18,MATCH(Summary!AK$1,'RA3-Backfilled Pits'!$A$9:$BN$9,1),FALSE),0)+IFERROR(VLOOKUP($B19,'RA4-Tracks_Roads'!$A$11:$BN$18,MATCH(Summary!AK$1,'RA4-Tracks_Roads'!$A$9:$BN$9,1),FALSE),0)+IFERROR(VLOOKUP($B19,'RA5-ROM'!$A$11:$BN$18,MATCH(Summary!AK$1,'RA5-ROM'!$A$9:$BN$9,1),FALSE),0)+IFERROR(VLOOKUP($B19,'RA6-CHPP'!$A$11:$BN$18,MATCH(Summary!AK$1,'RA6-CHPP'!$A$9:$BN$9,1),FALSE),0)+IFERROR(VLOOKUP($B19,'RA7-Mine Infrastructure Area'!$A$11:$BN$18,MATCH(Summary!AK$1,'RA7-Mine Infrastructure Area'!$A$9:$BN$9,1),FALSE),0)+IFERROR(VLOOKUP($B19,'RA8-Water Management Structures'!$A$11:$BN$18,MATCH(Summary!AK$1,'RA8-Water Management Structures'!$A$9:$BN$9,1),FALSE),0)+IFERROR(VLOOKUP($B19,'RA9-Codisposal Upper'!$A$11:$BN$18,MATCH(Summary!AK$1,'RA9-Codisposal Upper'!$A$9:$BN$9,1),FALSE),0)+IFERROR(VLOOKUP($B19,'RA10-Codisposal Slopes'!$A$11:$BN$18,MATCH(Summary!AK$1,'RA10-Codisposal Slopes'!$A$9:$BN$9,1),FALSE),0)+IFERROR(VLOOKUP($B19,'IA1-Final Void inc Ramps'!$A$11:$BN$18,MATCH(Summary!AK$1,'IA1-Final Void inc Ramps'!$A$9:$BN$9,1),FALSE),0)</f>
        <v>314</v>
      </c>
      <c r="AL19" s="47">
        <f>IFERROR(VLOOKUP($B19,'RA1- Elevated Dumps Upper'!$A$11:$BN$18,MATCH(Summary!AL$1,'RA1- Elevated Dumps Upper'!$A$9:$BN$9,1),FALSE),0)+IFERROR(VLOOKUP($B19,'RA2-Elevated Dumps Slopes'!$A$11:$BN$18,MATCH(Summary!AL$1,'RA2-Elevated Dumps Slopes'!$A$9:$BN$9,1),FALSE),0)+IFERROR(VLOOKUP($B19,'RA3-Backfilled Pits'!$A$11:$BN$18,MATCH(Summary!AL$1,'RA3-Backfilled Pits'!$A$9:$BN$9,1),FALSE),0)+IFERROR(VLOOKUP($B19,'RA4-Tracks_Roads'!$A$11:$BN$18,MATCH(Summary!AL$1,'RA4-Tracks_Roads'!$A$9:$BN$9,1),FALSE),0)+IFERROR(VLOOKUP($B19,'RA5-ROM'!$A$11:$BN$18,MATCH(Summary!AL$1,'RA5-ROM'!$A$9:$BN$9,1),FALSE),0)+IFERROR(VLOOKUP($B19,'RA6-CHPP'!$A$11:$BN$18,MATCH(Summary!AL$1,'RA6-CHPP'!$A$9:$BN$9,1),FALSE),0)+IFERROR(VLOOKUP($B19,'RA7-Mine Infrastructure Area'!$A$11:$BN$18,MATCH(Summary!AL$1,'RA7-Mine Infrastructure Area'!$A$9:$BN$9,1),FALSE),0)+IFERROR(VLOOKUP($B19,'RA8-Water Management Structures'!$A$11:$BN$18,MATCH(Summary!AL$1,'RA8-Water Management Structures'!$A$9:$BN$9,1),FALSE),0)+IFERROR(VLOOKUP($B19,'RA9-Codisposal Upper'!$A$11:$BN$18,MATCH(Summary!AL$1,'RA9-Codisposal Upper'!$A$9:$BN$9,1),FALSE),0)+IFERROR(VLOOKUP($B19,'RA10-Codisposal Slopes'!$A$11:$BN$18,MATCH(Summary!AL$1,'RA10-Codisposal Slopes'!$A$9:$BN$9,1),FALSE),0)+IFERROR(VLOOKUP($B19,'IA1-Final Void inc Ramps'!$A$11:$BN$18,MATCH(Summary!AL$1,'IA1-Final Void inc Ramps'!$A$9:$BN$9,1),FALSE),0)</f>
        <v>314</v>
      </c>
      <c r="AM19" s="47">
        <f>IFERROR(VLOOKUP($B19,'RA1- Elevated Dumps Upper'!$A$11:$BN$18,MATCH(Summary!AM$1,'RA1- Elevated Dumps Upper'!$A$9:$BN$9,1),FALSE),0)+IFERROR(VLOOKUP($B19,'RA2-Elevated Dumps Slopes'!$A$11:$BN$18,MATCH(Summary!AM$1,'RA2-Elevated Dumps Slopes'!$A$9:$BN$9,1),FALSE),0)+IFERROR(VLOOKUP($B19,'RA3-Backfilled Pits'!$A$11:$BN$18,MATCH(Summary!AM$1,'RA3-Backfilled Pits'!$A$9:$BN$9,1),FALSE),0)+IFERROR(VLOOKUP($B19,'RA4-Tracks_Roads'!$A$11:$BN$18,MATCH(Summary!AM$1,'RA4-Tracks_Roads'!$A$9:$BN$9,1),FALSE),0)+IFERROR(VLOOKUP($B19,'RA5-ROM'!$A$11:$BN$18,MATCH(Summary!AM$1,'RA5-ROM'!$A$9:$BN$9,1),FALSE),0)+IFERROR(VLOOKUP($B19,'RA6-CHPP'!$A$11:$BN$18,MATCH(Summary!AM$1,'RA6-CHPP'!$A$9:$BN$9,1),FALSE),0)+IFERROR(VLOOKUP($B19,'RA7-Mine Infrastructure Area'!$A$11:$BN$18,MATCH(Summary!AM$1,'RA7-Mine Infrastructure Area'!$A$9:$BN$9,1),FALSE),0)+IFERROR(VLOOKUP($B19,'RA8-Water Management Structures'!$A$11:$BN$18,MATCH(Summary!AM$1,'RA8-Water Management Structures'!$A$9:$BN$9,1),FALSE),0)+IFERROR(VLOOKUP($B19,'RA9-Codisposal Upper'!$A$11:$BN$18,MATCH(Summary!AM$1,'RA9-Codisposal Upper'!$A$9:$BN$9,1),FALSE),0)+IFERROR(VLOOKUP($B19,'RA10-Codisposal Slopes'!$A$11:$BN$18,MATCH(Summary!AM$1,'RA10-Codisposal Slopes'!$A$9:$BN$9,1),FALSE),0)+IFERROR(VLOOKUP($B19,'IA1-Final Void inc Ramps'!$A$11:$BN$18,MATCH(Summary!AM$1,'IA1-Final Void inc Ramps'!$A$9:$BN$9,1),FALSE),0)</f>
        <v>314</v>
      </c>
      <c r="AN19" s="47">
        <f>IFERROR(VLOOKUP($B19,'RA1- Elevated Dumps Upper'!$A$11:$BN$18,MATCH(Summary!AN$1,'RA1- Elevated Dumps Upper'!$A$9:$BN$9,1),FALSE),0)+IFERROR(VLOOKUP($B19,'RA2-Elevated Dumps Slopes'!$A$11:$BN$18,MATCH(Summary!AN$1,'RA2-Elevated Dumps Slopes'!$A$9:$BN$9,1),FALSE),0)+IFERROR(VLOOKUP($B19,'RA3-Backfilled Pits'!$A$11:$BN$18,MATCH(Summary!AN$1,'RA3-Backfilled Pits'!$A$9:$BN$9,1),FALSE),0)+IFERROR(VLOOKUP($B19,'RA4-Tracks_Roads'!$A$11:$BN$18,MATCH(Summary!AN$1,'RA4-Tracks_Roads'!$A$9:$BN$9,1),FALSE),0)+IFERROR(VLOOKUP($B19,'RA5-ROM'!$A$11:$BN$18,MATCH(Summary!AN$1,'RA5-ROM'!$A$9:$BN$9,1),FALSE),0)+IFERROR(VLOOKUP($B19,'RA6-CHPP'!$A$11:$BN$18,MATCH(Summary!AN$1,'RA6-CHPP'!$A$9:$BN$9,1),FALSE),0)+IFERROR(VLOOKUP($B19,'RA7-Mine Infrastructure Area'!$A$11:$BN$18,MATCH(Summary!AN$1,'RA7-Mine Infrastructure Area'!$A$9:$BN$9,1),FALSE),0)+IFERROR(VLOOKUP($B19,'RA8-Water Management Structures'!$A$11:$BN$18,MATCH(Summary!AN$1,'RA8-Water Management Structures'!$A$9:$BN$9,1),FALSE),0)+IFERROR(VLOOKUP($B19,'RA9-Codisposal Upper'!$A$11:$BN$18,MATCH(Summary!AN$1,'RA9-Codisposal Upper'!$A$9:$BN$9,1),FALSE),0)+IFERROR(VLOOKUP($B19,'RA10-Codisposal Slopes'!$A$11:$BN$18,MATCH(Summary!AN$1,'RA10-Codisposal Slopes'!$A$9:$BN$9,1),FALSE),0)+IFERROR(VLOOKUP($B19,'IA1-Final Void inc Ramps'!$A$11:$BN$18,MATCH(Summary!AN$1,'IA1-Final Void inc Ramps'!$A$9:$BN$9,1),FALSE),0)</f>
        <v>314</v>
      </c>
      <c r="AO19" s="47">
        <f>IFERROR(VLOOKUP($B19,'RA1- Elevated Dumps Upper'!$A$11:$BN$18,MATCH(Summary!AO$1,'RA1- Elevated Dumps Upper'!$A$9:$BN$9,1),FALSE),0)+IFERROR(VLOOKUP($B19,'RA2-Elevated Dumps Slopes'!$A$11:$BN$18,MATCH(Summary!AO$1,'RA2-Elevated Dumps Slopes'!$A$9:$BN$9,1),FALSE),0)+IFERROR(VLOOKUP($B19,'RA3-Backfilled Pits'!$A$11:$BN$18,MATCH(Summary!AO$1,'RA3-Backfilled Pits'!$A$9:$BN$9,1),FALSE),0)+IFERROR(VLOOKUP($B19,'RA4-Tracks_Roads'!$A$11:$BN$18,MATCH(Summary!AO$1,'RA4-Tracks_Roads'!$A$9:$BN$9,1),FALSE),0)+IFERROR(VLOOKUP($B19,'RA5-ROM'!$A$11:$BN$18,MATCH(Summary!AO$1,'RA5-ROM'!$A$9:$BN$9,1),FALSE),0)+IFERROR(VLOOKUP($B19,'RA6-CHPP'!$A$11:$BN$18,MATCH(Summary!AO$1,'RA6-CHPP'!$A$9:$BN$9,1),FALSE),0)+IFERROR(VLOOKUP($B19,'RA7-Mine Infrastructure Area'!$A$11:$BN$18,MATCH(Summary!AO$1,'RA7-Mine Infrastructure Area'!$A$9:$BN$9,1),FALSE),0)+IFERROR(VLOOKUP($B19,'RA8-Water Management Structures'!$A$11:$BN$18,MATCH(Summary!AO$1,'RA8-Water Management Structures'!$A$9:$BN$9,1),FALSE),0)+IFERROR(VLOOKUP($B19,'RA9-Codisposal Upper'!$A$11:$BN$18,MATCH(Summary!AO$1,'RA9-Codisposal Upper'!$A$9:$BN$9,1),FALSE),0)+IFERROR(VLOOKUP($B19,'RA10-Codisposal Slopes'!$A$11:$BN$18,MATCH(Summary!AO$1,'RA10-Codisposal Slopes'!$A$9:$BN$9,1),FALSE),0)+IFERROR(VLOOKUP($B19,'IA1-Final Void inc Ramps'!$A$11:$BN$18,MATCH(Summary!AO$1,'IA1-Final Void inc Ramps'!$A$9:$BN$9,1),FALSE),0)</f>
        <v>314</v>
      </c>
      <c r="AP19" s="47">
        <f>IFERROR(VLOOKUP($B19,'RA1- Elevated Dumps Upper'!$A$11:$BN$18,MATCH(Summary!AP$1,'RA1- Elevated Dumps Upper'!$A$9:$BN$9,1),FALSE),0)+IFERROR(VLOOKUP($B19,'RA2-Elevated Dumps Slopes'!$A$11:$BN$18,MATCH(Summary!AP$1,'RA2-Elevated Dumps Slopes'!$A$9:$BN$9,1),FALSE),0)+IFERROR(VLOOKUP($B19,'RA3-Backfilled Pits'!$A$11:$BN$18,MATCH(Summary!AP$1,'RA3-Backfilled Pits'!$A$9:$BN$9,1),FALSE),0)+IFERROR(VLOOKUP($B19,'RA4-Tracks_Roads'!$A$11:$BN$18,MATCH(Summary!AP$1,'RA4-Tracks_Roads'!$A$9:$BN$9,1),FALSE),0)+IFERROR(VLOOKUP($B19,'RA5-ROM'!$A$11:$BN$18,MATCH(Summary!AP$1,'RA5-ROM'!$A$9:$BN$9,1),FALSE),0)+IFERROR(VLOOKUP($B19,'RA6-CHPP'!$A$11:$BN$18,MATCH(Summary!AP$1,'RA6-CHPP'!$A$9:$BN$9,1),FALSE),0)+IFERROR(VLOOKUP($B19,'RA7-Mine Infrastructure Area'!$A$11:$BN$18,MATCH(Summary!AP$1,'RA7-Mine Infrastructure Area'!$A$9:$BN$9,1),FALSE),0)+IFERROR(VLOOKUP($B19,'RA8-Water Management Structures'!$A$11:$BN$18,MATCH(Summary!AP$1,'RA8-Water Management Structures'!$A$9:$BN$9,1),FALSE),0)+IFERROR(VLOOKUP($B19,'RA9-Codisposal Upper'!$A$11:$BN$18,MATCH(Summary!AP$1,'RA9-Codisposal Upper'!$A$9:$BN$9,1),FALSE),0)+IFERROR(VLOOKUP($B19,'RA10-Codisposal Slopes'!$A$11:$BN$18,MATCH(Summary!AP$1,'RA10-Codisposal Slopes'!$A$9:$BN$9,1),FALSE),0)+IFERROR(VLOOKUP($B19,'IA1-Final Void inc Ramps'!$A$11:$BN$18,MATCH(Summary!AP$1,'IA1-Final Void inc Ramps'!$A$9:$BN$9,1),FALSE),0)</f>
        <v>338</v>
      </c>
      <c r="AQ19" s="47">
        <f>IFERROR(VLOOKUP($B19,'RA1- Elevated Dumps Upper'!$A$11:$BN$18,MATCH(Summary!AQ$1,'RA1- Elevated Dumps Upper'!$A$9:$BN$9,1),FALSE),0)+IFERROR(VLOOKUP($B19,'RA2-Elevated Dumps Slopes'!$A$11:$BN$18,MATCH(Summary!AQ$1,'RA2-Elevated Dumps Slopes'!$A$9:$BN$9,1),FALSE),0)+IFERROR(VLOOKUP($B19,'RA3-Backfilled Pits'!$A$11:$BN$18,MATCH(Summary!AQ$1,'RA3-Backfilled Pits'!$A$9:$BN$9,1),FALSE),0)+IFERROR(VLOOKUP($B19,'RA4-Tracks_Roads'!$A$11:$BN$18,MATCH(Summary!AQ$1,'RA4-Tracks_Roads'!$A$9:$BN$9,1),FALSE),0)+IFERROR(VLOOKUP($B19,'RA5-ROM'!$A$11:$BN$18,MATCH(Summary!AQ$1,'RA5-ROM'!$A$9:$BN$9,1),FALSE),0)+IFERROR(VLOOKUP($B19,'RA6-CHPP'!$A$11:$BN$18,MATCH(Summary!AQ$1,'RA6-CHPP'!$A$9:$BN$9,1),FALSE),0)+IFERROR(VLOOKUP($B19,'RA7-Mine Infrastructure Area'!$A$11:$BN$18,MATCH(Summary!AQ$1,'RA7-Mine Infrastructure Area'!$A$9:$BN$9,1),FALSE),0)+IFERROR(VLOOKUP($B19,'RA8-Water Management Structures'!$A$11:$BN$18,MATCH(Summary!AQ$1,'RA8-Water Management Structures'!$A$9:$BN$9,1),FALSE),0)+IFERROR(VLOOKUP($B19,'RA9-Codisposal Upper'!$A$11:$BN$18,MATCH(Summary!AQ$1,'RA9-Codisposal Upper'!$A$9:$BN$9,1),FALSE),0)+IFERROR(VLOOKUP($B19,'RA10-Codisposal Slopes'!$A$11:$BN$18,MATCH(Summary!AQ$1,'RA10-Codisposal Slopes'!$A$9:$BN$9,1),FALSE),0)+IFERROR(VLOOKUP($B19,'IA1-Final Void inc Ramps'!$A$11:$BN$18,MATCH(Summary!AQ$1,'IA1-Final Void inc Ramps'!$A$9:$BN$9,1),FALSE),0)</f>
        <v>449</v>
      </c>
      <c r="AR19" s="47">
        <f>IFERROR(VLOOKUP($B19,'RA1- Elevated Dumps Upper'!$A$11:$BN$18,MATCH(Summary!AR$1,'RA1- Elevated Dumps Upper'!$A$9:$BN$9,1),FALSE),0)+IFERROR(VLOOKUP($B19,'RA2-Elevated Dumps Slopes'!$A$11:$BN$18,MATCH(Summary!AR$1,'RA2-Elevated Dumps Slopes'!$A$9:$BN$9,1),FALSE),0)+IFERROR(VLOOKUP($B19,'RA3-Backfilled Pits'!$A$11:$BN$18,MATCH(Summary!AR$1,'RA3-Backfilled Pits'!$A$9:$BN$9,1),FALSE),0)+IFERROR(VLOOKUP($B19,'RA4-Tracks_Roads'!$A$11:$BN$18,MATCH(Summary!AR$1,'RA4-Tracks_Roads'!$A$9:$BN$9,1),FALSE),0)+IFERROR(VLOOKUP($B19,'RA5-ROM'!$A$11:$BN$18,MATCH(Summary!AR$1,'RA5-ROM'!$A$9:$BN$9,1),FALSE),0)+IFERROR(VLOOKUP($B19,'RA6-CHPP'!$A$11:$BN$18,MATCH(Summary!AR$1,'RA6-CHPP'!$A$9:$BN$9,1),FALSE),0)+IFERROR(VLOOKUP($B19,'RA7-Mine Infrastructure Area'!$A$11:$BN$18,MATCH(Summary!AR$1,'RA7-Mine Infrastructure Area'!$A$9:$BN$9,1),FALSE),0)+IFERROR(VLOOKUP($B19,'RA8-Water Management Structures'!$A$11:$BN$18,MATCH(Summary!AR$1,'RA8-Water Management Structures'!$A$9:$BN$9,1),FALSE),0)+IFERROR(VLOOKUP($B19,'RA9-Codisposal Upper'!$A$11:$BN$18,MATCH(Summary!AR$1,'RA9-Codisposal Upper'!$A$9:$BN$9,1),FALSE),0)+IFERROR(VLOOKUP($B19,'RA10-Codisposal Slopes'!$A$11:$BN$18,MATCH(Summary!AR$1,'RA10-Codisposal Slopes'!$A$9:$BN$9,1),FALSE),0)+IFERROR(VLOOKUP($B19,'IA1-Final Void inc Ramps'!$A$11:$BN$18,MATCH(Summary!AR$1,'IA1-Final Void inc Ramps'!$A$9:$BN$9,1),FALSE),0)</f>
        <v>477.00299999999999</v>
      </c>
      <c r="AS19" s="47">
        <f>IFERROR(VLOOKUP($B19,'RA1- Elevated Dumps Upper'!$A$11:$BN$18,MATCH(Summary!AS$1,'RA1- Elevated Dumps Upper'!$A$9:$BN$9,1),FALSE),0)+IFERROR(VLOOKUP($B19,'RA2-Elevated Dumps Slopes'!$A$11:$BN$18,MATCH(Summary!AS$1,'RA2-Elevated Dumps Slopes'!$A$9:$BN$9,1),FALSE),0)+IFERROR(VLOOKUP($B19,'RA3-Backfilled Pits'!$A$11:$BN$18,MATCH(Summary!AS$1,'RA3-Backfilled Pits'!$A$9:$BN$9,1),FALSE),0)+IFERROR(VLOOKUP($B19,'RA4-Tracks_Roads'!$A$11:$BN$18,MATCH(Summary!AS$1,'RA4-Tracks_Roads'!$A$9:$BN$9,1),FALSE),0)+IFERROR(VLOOKUP($B19,'RA5-ROM'!$A$11:$BN$18,MATCH(Summary!AS$1,'RA5-ROM'!$A$9:$BN$9,1),FALSE),0)+IFERROR(VLOOKUP($B19,'RA6-CHPP'!$A$11:$BN$18,MATCH(Summary!AS$1,'RA6-CHPP'!$A$9:$BN$9,1),FALSE),0)+IFERROR(VLOOKUP($B19,'RA7-Mine Infrastructure Area'!$A$11:$BN$18,MATCH(Summary!AS$1,'RA7-Mine Infrastructure Area'!$A$9:$BN$9,1),FALSE),0)+IFERROR(VLOOKUP($B19,'RA8-Water Management Structures'!$A$11:$BN$18,MATCH(Summary!AS$1,'RA8-Water Management Structures'!$A$9:$BN$9,1),FALSE),0)+IFERROR(VLOOKUP($B19,'RA9-Codisposal Upper'!$A$11:$BN$18,MATCH(Summary!AS$1,'RA9-Codisposal Upper'!$A$9:$BN$9,1),FALSE),0)+IFERROR(VLOOKUP($B19,'RA10-Codisposal Slopes'!$A$11:$BN$18,MATCH(Summary!AS$1,'RA10-Codisposal Slopes'!$A$9:$BN$9,1),FALSE),0)+IFERROR(VLOOKUP($B19,'IA1-Final Void inc Ramps'!$A$11:$BN$18,MATCH(Summary!AS$1,'IA1-Final Void inc Ramps'!$A$9:$BN$9,1),FALSE),0)</f>
        <v>569.90300000000002</v>
      </c>
      <c r="AT19" s="47">
        <f>IFERROR(VLOOKUP($B19,'RA1- Elevated Dumps Upper'!$A$11:$BN$18,MATCH(Summary!AT$1,'RA1- Elevated Dumps Upper'!$A$9:$BN$9,1),FALSE),0)+IFERROR(VLOOKUP($B19,'RA2-Elevated Dumps Slopes'!$A$11:$BN$18,MATCH(Summary!AT$1,'RA2-Elevated Dumps Slopes'!$A$9:$BN$9,1),FALSE),0)+IFERROR(VLOOKUP($B19,'RA3-Backfilled Pits'!$A$11:$BN$18,MATCH(Summary!AT$1,'RA3-Backfilled Pits'!$A$9:$BN$9,1),FALSE),0)+IFERROR(VLOOKUP($B19,'RA4-Tracks_Roads'!$A$11:$BN$18,MATCH(Summary!AT$1,'RA4-Tracks_Roads'!$A$9:$BN$9,1),FALSE),0)+IFERROR(VLOOKUP($B19,'RA5-ROM'!$A$11:$BN$18,MATCH(Summary!AT$1,'RA5-ROM'!$A$9:$BN$9,1),FALSE),0)+IFERROR(VLOOKUP($B19,'RA6-CHPP'!$A$11:$BN$18,MATCH(Summary!AT$1,'RA6-CHPP'!$A$9:$BN$9,1),FALSE),0)+IFERROR(VLOOKUP($B19,'RA7-Mine Infrastructure Area'!$A$11:$BN$18,MATCH(Summary!AT$1,'RA7-Mine Infrastructure Area'!$A$9:$BN$9,1),FALSE),0)+IFERROR(VLOOKUP($B19,'RA8-Water Management Structures'!$A$11:$BN$18,MATCH(Summary!AT$1,'RA8-Water Management Structures'!$A$9:$BN$9,1),FALSE),0)+IFERROR(VLOOKUP($B19,'RA9-Codisposal Upper'!$A$11:$BN$18,MATCH(Summary!AT$1,'RA9-Codisposal Upper'!$A$9:$BN$9,1),FALSE),0)+IFERROR(VLOOKUP($B19,'RA10-Codisposal Slopes'!$A$11:$BN$18,MATCH(Summary!AT$1,'RA10-Codisposal Slopes'!$A$9:$BN$9,1),FALSE),0)+IFERROR(VLOOKUP($B19,'IA1-Final Void inc Ramps'!$A$11:$BN$18,MATCH(Summary!AT$1,'IA1-Final Void inc Ramps'!$A$9:$BN$9,1),FALSE),0)</f>
        <v>569.90300000000002</v>
      </c>
      <c r="AU19" s="47">
        <f>IFERROR(VLOOKUP($B19,'RA1- Elevated Dumps Upper'!$A$11:$BN$18,MATCH(Summary!AU$1,'RA1- Elevated Dumps Upper'!$A$9:$BN$9,1),FALSE),0)+IFERROR(VLOOKUP($B19,'RA2-Elevated Dumps Slopes'!$A$11:$BN$18,MATCH(Summary!AU$1,'RA2-Elevated Dumps Slopes'!$A$9:$BN$9,1),FALSE),0)+IFERROR(VLOOKUP($B19,'RA3-Backfilled Pits'!$A$11:$BN$18,MATCH(Summary!AU$1,'RA3-Backfilled Pits'!$A$9:$BN$9,1),FALSE),0)+IFERROR(VLOOKUP($B19,'RA4-Tracks_Roads'!$A$11:$BN$18,MATCH(Summary!AU$1,'RA4-Tracks_Roads'!$A$9:$BN$9,1),FALSE),0)+IFERROR(VLOOKUP($B19,'RA5-ROM'!$A$11:$BN$18,MATCH(Summary!AU$1,'RA5-ROM'!$A$9:$BN$9,1),FALSE),0)+IFERROR(VLOOKUP($B19,'RA6-CHPP'!$A$11:$BN$18,MATCH(Summary!AU$1,'RA6-CHPP'!$A$9:$BN$9,1),FALSE),0)+IFERROR(VLOOKUP($B19,'RA7-Mine Infrastructure Area'!$A$11:$BN$18,MATCH(Summary!AU$1,'RA7-Mine Infrastructure Area'!$A$9:$BN$9,1),FALSE),0)+IFERROR(VLOOKUP($B19,'RA8-Water Management Structures'!$A$11:$BN$18,MATCH(Summary!AU$1,'RA8-Water Management Structures'!$A$9:$BN$9,1),FALSE),0)+IFERROR(VLOOKUP($B19,'RA9-Codisposal Upper'!$A$11:$BN$18,MATCH(Summary!AU$1,'RA9-Codisposal Upper'!$A$9:$BN$9,1),FALSE),0)+IFERROR(VLOOKUP($B19,'RA10-Codisposal Slopes'!$A$11:$BN$18,MATCH(Summary!AU$1,'RA10-Codisposal Slopes'!$A$9:$BN$9,1),FALSE),0)+IFERROR(VLOOKUP($B19,'IA1-Final Void inc Ramps'!$A$11:$BN$18,MATCH(Summary!AU$1,'IA1-Final Void inc Ramps'!$A$9:$BN$9,1),FALSE),0)</f>
        <v>569.90300000000002</v>
      </c>
      <c r="AV19" s="47">
        <f>IFERROR(VLOOKUP($B19,'RA1- Elevated Dumps Upper'!$A$11:$BN$18,MATCH(Summary!AV$1,'RA1- Elevated Dumps Upper'!$A$9:$BN$9,1),FALSE),0)+IFERROR(VLOOKUP($B19,'RA2-Elevated Dumps Slopes'!$A$11:$BN$18,MATCH(Summary!AV$1,'RA2-Elevated Dumps Slopes'!$A$9:$BN$9,1),FALSE),0)+IFERROR(VLOOKUP($B19,'RA3-Backfilled Pits'!$A$11:$BN$18,MATCH(Summary!AV$1,'RA3-Backfilled Pits'!$A$9:$BN$9,1),FALSE),0)+IFERROR(VLOOKUP($B19,'RA4-Tracks_Roads'!$A$11:$BN$18,MATCH(Summary!AV$1,'RA4-Tracks_Roads'!$A$9:$BN$9,1),FALSE),0)+IFERROR(VLOOKUP($B19,'RA5-ROM'!$A$11:$BN$18,MATCH(Summary!AV$1,'RA5-ROM'!$A$9:$BN$9,1),FALSE),0)+IFERROR(VLOOKUP($B19,'RA6-CHPP'!$A$11:$BN$18,MATCH(Summary!AV$1,'RA6-CHPP'!$A$9:$BN$9,1),FALSE),0)+IFERROR(VLOOKUP($B19,'RA7-Mine Infrastructure Area'!$A$11:$BN$18,MATCH(Summary!AV$1,'RA7-Mine Infrastructure Area'!$A$9:$BN$9,1),FALSE),0)+IFERROR(VLOOKUP($B19,'RA8-Water Management Structures'!$A$11:$BN$18,MATCH(Summary!AV$1,'RA8-Water Management Structures'!$A$9:$BN$9,1),FALSE),0)+IFERROR(VLOOKUP($B19,'RA9-Codisposal Upper'!$A$11:$BN$18,MATCH(Summary!AV$1,'RA9-Codisposal Upper'!$A$9:$BN$9,1),FALSE),0)+IFERROR(VLOOKUP($B19,'RA10-Codisposal Slopes'!$A$11:$BN$18,MATCH(Summary!AV$1,'RA10-Codisposal Slopes'!$A$9:$BN$9,1),FALSE),0)+IFERROR(VLOOKUP($B19,'IA1-Final Void inc Ramps'!$A$11:$BN$18,MATCH(Summary!AV$1,'IA1-Final Void inc Ramps'!$A$9:$BN$9,1),FALSE),0)</f>
        <v>569.90300000000002</v>
      </c>
      <c r="AW19" s="47">
        <f>IFERROR(VLOOKUP($B19,'RA1- Elevated Dumps Upper'!$A$11:$BN$18,MATCH(Summary!AW$1,'RA1- Elevated Dumps Upper'!$A$9:$BN$9,1),FALSE),0)+IFERROR(VLOOKUP($B19,'RA2-Elevated Dumps Slopes'!$A$11:$BN$18,MATCH(Summary!AW$1,'RA2-Elevated Dumps Slopes'!$A$9:$BN$9,1),FALSE),0)+IFERROR(VLOOKUP($B19,'RA3-Backfilled Pits'!$A$11:$BN$18,MATCH(Summary!AW$1,'RA3-Backfilled Pits'!$A$9:$BN$9,1),FALSE),0)+IFERROR(VLOOKUP($B19,'RA4-Tracks_Roads'!$A$11:$BN$18,MATCH(Summary!AW$1,'RA4-Tracks_Roads'!$A$9:$BN$9,1),FALSE),0)+IFERROR(VLOOKUP($B19,'RA5-ROM'!$A$11:$BN$18,MATCH(Summary!AW$1,'RA5-ROM'!$A$9:$BN$9,1),FALSE),0)+IFERROR(VLOOKUP($B19,'RA6-CHPP'!$A$11:$BN$18,MATCH(Summary!AW$1,'RA6-CHPP'!$A$9:$BN$9,1),FALSE),0)+IFERROR(VLOOKUP($B19,'RA7-Mine Infrastructure Area'!$A$11:$BN$18,MATCH(Summary!AW$1,'RA7-Mine Infrastructure Area'!$A$9:$BN$9,1),FALSE),0)+IFERROR(VLOOKUP($B19,'RA8-Water Management Structures'!$A$11:$BN$18,MATCH(Summary!AW$1,'RA8-Water Management Structures'!$A$9:$BN$9,1),FALSE),0)+IFERROR(VLOOKUP($B19,'RA9-Codisposal Upper'!$A$11:$BN$18,MATCH(Summary!AW$1,'RA9-Codisposal Upper'!$A$9:$BN$9,1),FALSE),0)+IFERROR(VLOOKUP($B19,'RA10-Codisposal Slopes'!$A$11:$BN$18,MATCH(Summary!AW$1,'RA10-Codisposal Slopes'!$A$9:$BN$9,1),FALSE),0)+IFERROR(VLOOKUP($B19,'IA1-Final Void inc Ramps'!$A$11:$BN$18,MATCH(Summary!AW$1,'IA1-Final Void inc Ramps'!$A$9:$BN$9,1),FALSE),0)</f>
        <v>569.90300000000002</v>
      </c>
      <c r="AX19" s="47">
        <f>IFERROR(VLOOKUP($B19,'RA1- Elevated Dumps Upper'!$A$11:$BN$18,MATCH(Summary!AX$1,'RA1- Elevated Dumps Upper'!$A$9:$BN$9,1),FALSE),0)+IFERROR(VLOOKUP($B19,'RA2-Elevated Dumps Slopes'!$A$11:$BN$18,MATCH(Summary!AX$1,'RA2-Elevated Dumps Slopes'!$A$9:$BN$9,1),FALSE),0)+IFERROR(VLOOKUP($B19,'RA3-Backfilled Pits'!$A$11:$BN$18,MATCH(Summary!AX$1,'RA3-Backfilled Pits'!$A$9:$BN$9,1),FALSE),0)+IFERROR(VLOOKUP($B19,'RA4-Tracks_Roads'!$A$11:$BN$18,MATCH(Summary!AX$1,'RA4-Tracks_Roads'!$A$9:$BN$9,1),FALSE),0)+IFERROR(VLOOKUP($B19,'RA5-ROM'!$A$11:$BN$18,MATCH(Summary!AX$1,'RA5-ROM'!$A$9:$BN$9,1),FALSE),0)+IFERROR(VLOOKUP($B19,'RA6-CHPP'!$A$11:$BN$18,MATCH(Summary!AX$1,'RA6-CHPP'!$A$9:$BN$9,1),FALSE),0)+IFERROR(VLOOKUP($B19,'RA7-Mine Infrastructure Area'!$A$11:$BN$18,MATCH(Summary!AX$1,'RA7-Mine Infrastructure Area'!$A$9:$BN$9,1),FALSE),0)+IFERROR(VLOOKUP($B19,'RA8-Water Management Structures'!$A$11:$BN$18,MATCH(Summary!AX$1,'RA8-Water Management Structures'!$A$9:$BN$9,1),FALSE),0)+IFERROR(VLOOKUP($B19,'RA9-Codisposal Upper'!$A$11:$BN$18,MATCH(Summary!AX$1,'RA9-Codisposal Upper'!$A$9:$BN$9,1),FALSE),0)+IFERROR(VLOOKUP($B19,'RA10-Codisposal Slopes'!$A$11:$BN$18,MATCH(Summary!AX$1,'RA10-Codisposal Slopes'!$A$9:$BN$9,1),FALSE),0)+IFERROR(VLOOKUP($B19,'IA1-Final Void inc Ramps'!$A$11:$BN$18,MATCH(Summary!AX$1,'IA1-Final Void inc Ramps'!$A$9:$BN$9,1),FALSE),0)</f>
        <v>569.90300000000002</v>
      </c>
      <c r="AY19" s="47">
        <f>IFERROR(VLOOKUP($B19,'RA1- Elevated Dumps Upper'!$A$11:$BN$18,MATCH(Summary!AY$1,'RA1- Elevated Dumps Upper'!$A$9:$BN$9,1),FALSE),0)+IFERROR(VLOOKUP($B19,'RA2-Elevated Dumps Slopes'!$A$11:$BN$18,MATCH(Summary!AY$1,'RA2-Elevated Dumps Slopes'!$A$9:$BN$9,1),FALSE),0)+IFERROR(VLOOKUP($B19,'RA3-Backfilled Pits'!$A$11:$BN$18,MATCH(Summary!AY$1,'RA3-Backfilled Pits'!$A$9:$BN$9,1),FALSE),0)+IFERROR(VLOOKUP($B19,'RA4-Tracks_Roads'!$A$11:$BN$18,MATCH(Summary!AY$1,'RA4-Tracks_Roads'!$A$9:$BN$9,1),FALSE),0)+IFERROR(VLOOKUP($B19,'RA5-ROM'!$A$11:$BN$18,MATCH(Summary!AY$1,'RA5-ROM'!$A$9:$BN$9,1),FALSE),0)+IFERROR(VLOOKUP($B19,'RA6-CHPP'!$A$11:$BN$18,MATCH(Summary!AY$1,'RA6-CHPP'!$A$9:$BN$9,1),FALSE),0)+IFERROR(VLOOKUP($B19,'RA7-Mine Infrastructure Area'!$A$11:$BN$18,MATCH(Summary!AY$1,'RA7-Mine Infrastructure Area'!$A$9:$BN$9,1),FALSE),0)+IFERROR(VLOOKUP($B19,'RA8-Water Management Structures'!$A$11:$BN$18,MATCH(Summary!AY$1,'RA8-Water Management Structures'!$A$9:$BN$9,1),FALSE),0)+IFERROR(VLOOKUP($B19,'RA9-Codisposal Upper'!$A$11:$BN$18,MATCH(Summary!AY$1,'RA9-Codisposal Upper'!$A$9:$BN$9,1),FALSE),0)+IFERROR(VLOOKUP($B19,'RA10-Codisposal Slopes'!$A$11:$BN$18,MATCH(Summary!AY$1,'RA10-Codisposal Slopes'!$A$9:$BN$9,1),FALSE),0)+IFERROR(VLOOKUP($B19,'IA1-Final Void inc Ramps'!$A$11:$BN$18,MATCH(Summary!AY$1,'IA1-Final Void inc Ramps'!$A$9:$BN$9,1),FALSE),0)</f>
        <v>569.90300000000002</v>
      </c>
      <c r="AZ19" s="47">
        <f>IFERROR(VLOOKUP($B19,'RA1- Elevated Dumps Upper'!$A$11:$BN$18,MATCH(Summary!AZ$1,'RA1- Elevated Dumps Upper'!$A$9:$BN$9,1),FALSE),0)+IFERROR(VLOOKUP($B19,'RA2-Elevated Dumps Slopes'!$A$11:$BN$18,MATCH(Summary!AZ$1,'RA2-Elevated Dumps Slopes'!$A$9:$BN$9,1),FALSE),0)+IFERROR(VLOOKUP($B19,'RA3-Backfilled Pits'!$A$11:$BN$18,MATCH(Summary!AZ$1,'RA3-Backfilled Pits'!$A$9:$BN$9,1),FALSE),0)+IFERROR(VLOOKUP($B19,'RA4-Tracks_Roads'!$A$11:$BN$18,MATCH(Summary!AZ$1,'RA4-Tracks_Roads'!$A$9:$BN$9,1),FALSE),0)+IFERROR(VLOOKUP($B19,'RA5-ROM'!$A$11:$BN$18,MATCH(Summary!AZ$1,'RA5-ROM'!$A$9:$BN$9,1),FALSE),0)+IFERROR(VLOOKUP($B19,'RA6-CHPP'!$A$11:$BN$18,MATCH(Summary!AZ$1,'RA6-CHPP'!$A$9:$BN$9,1),FALSE),0)+IFERROR(VLOOKUP($B19,'RA7-Mine Infrastructure Area'!$A$11:$BN$18,MATCH(Summary!AZ$1,'RA7-Mine Infrastructure Area'!$A$9:$BN$9,1),FALSE),0)+IFERROR(VLOOKUP($B19,'RA8-Water Management Structures'!$A$11:$BN$18,MATCH(Summary!AZ$1,'RA8-Water Management Structures'!$A$9:$BN$9,1),FALSE),0)+IFERROR(VLOOKUP($B19,'RA9-Codisposal Upper'!$A$11:$BN$18,MATCH(Summary!AZ$1,'RA9-Codisposal Upper'!$A$9:$BN$9,1),FALSE),0)+IFERROR(VLOOKUP($B19,'RA10-Codisposal Slopes'!$A$11:$BN$18,MATCH(Summary!AZ$1,'RA10-Codisposal Slopes'!$A$9:$BN$9,1),FALSE),0)+IFERROR(VLOOKUP($B19,'IA1-Final Void inc Ramps'!$A$11:$BN$18,MATCH(Summary!AZ$1,'IA1-Final Void inc Ramps'!$A$9:$BN$9,1),FALSE),0)</f>
        <v>569.90300000000002</v>
      </c>
      <c r="BA19" s="47">
        <f>IFERROR(VLOOKUP($B19,'RA1- Elevated Dumps Upper'!$A$11:$BN$18,MATCH(Summary!BA$1,'RA1- Elevated Dumps Upper'!$A$9:$BN$9,1),FALSE),0)+IFERROR(VLOOKUP($B19,'RA2-Elevated Dumps Slopes'!$A$11:$BN$18,MATCH(Summary!BA$1,'RA2-Elevated Dumps Slopes'!$A$9:$BN$9,1),FALSE),0)+IFERROR(VLOOKUP($B19,'RA3-Backfilled Pits'!$A$11:$BN$18,MATCH(Summary!BA$1,'RA3-Backfilled Pits'!$A$9:$BN$9,1),FALSE),0)+IFERROR(VLOOKUP($B19,'RA4-Tracks_Roads'!$A$11:$BN$18,MATCH(Summary!BA$1,'RA4-Tracks_Roads'!$A$9:$BN$9,1),FALSE),0)+IFERROR(VLOOKUP($B19,'RA5-ROM'!$A$11:$BN$18,MATCH(Summary!BA$1,'RA5-ROM'!$A$9:$BN$9,1),FALSE),0)+IFERROR(VLOOKUP($B19,'RA6-CHPP'!$A$11:$BN$18,MATCH(Summary!BA$1,'RA6-CHPP'!$A$9:$BN$9,1),FALSE),0)+IFERROR(VLOOKUP($B19,'RA7-Mine Infrastructure Area'!$A$11:$BN$18,MATCH(Summary!BA$1,'RA7-Mine Infrastructure Area'!$A$9:$BN$9,1),FALSE),0)+IFERROR(VLOOKUP($B19,'RA8-Water Management Structures'!$A$11:$BN$18,MATCH(Summary!BA$1,'RA8-Water Management Structures'!$A$9:$BN$9,1),FALSE),0)+IFERROR(VLOOKUP($B19,'RA9-Codisposal Upper'!$A$11:$BN$18,MATCH(Summary!BA$1,'RA9-Codisposal Upper'!$A$9:$BN$9,1),FALSE),0)+IFERROR(VLOOKUP($B19,'RA10-Codisposal Slopes'!$A$11:$BN$18,MATCH(Summary!BA$1,'RA10-Codisposal Slopes'!$A$9:$BN$9,1),FALSE),0)+IFERROR(VLOOKUP($B19,'IA1-Final Void inc Ramps'!$A$11:$BN$18,MATCH(Summary!BA$1,'IA1-Final Void inc Ramps'!$A$9:$BN$9,1),FALSE),0)</f>
        <v>569.90300000000002</v>
      </c>
      <c r="BB19" s="47">
        <f>IFERROR(VLOOKUP($B19,'RA1- Elevated Dumps Upper'!$A$11:$BN$18,MATCH(Summary!BB$1,'RA1- Elevated Dumps Upper'!$A$9:$BN$9,1),FALSE),0)+IFERROR(VLOOKUP($B19,'RA2-Elevated Dumps Slopes'!$A$11:$BN$18,MATCH(Summary!BB$1,'RA2-Elevated Dumps Slopes'!$A$9:$BN$9,1),FALSE),0)+IFERROR(VLOOKUP($B19,'RA3-Backfilled Pits'!$A$11:$BN$18,MATCH(Summary!BB$1,'RA3-Backfilled Pits'!$A$9:$BN$9,1),FALSE),0)+IFERROR(VLOOKUP($B19,'RA4-Tracks_Roads'!$A$11:$BN$18,MATCH(Summary!BB$1,'RA4-Tracks_Roads'!$A$9:$BN$9,1),FALSE),0)+IFERROR(VLOOKUP($B19,'RA5-ROM'!$A$11:$BN$18,MATCH(Summary!BB$1,'RA5-ROM'!$A$9:$BN$9,1),FALSE),0)+IFERROR(VLOOKUP($B19,'RA6-CHPP'!$A$11:$BN$18,MATCH(Summary!BB$1,'RA6-CHPP'!$A$9:$BN$9,1),FALSE),0)+IFERROR(VLOOKUP($B19,'RA7-Mine Infrastructure Area'!$A$11:$BN$18,MATCH(Summary!BB$1,'RA7-Mine Infrastructure Area'!$A$9:$BN$9,1),FALSE),0)+IFERROR(VLOOKUP($B19,'RA8-Water Management Structures'!$A$11:$BN$18,MATCH(Summary!BB$1,'RA8-Water Management Structures'!$A$9:$BN$9,1),FALSE),0)+IFERROR(VLOOKUP($B19,'RA9-Codisposal Upper'!$A$11:$BN$18,MATCH(Summary!BB$1,'RA9-Codisposal Upper'!$A$9:$BN$9,1),FALSE),0)+IFERROR(VLOOKUP($B19,'RA10-Codisposal Slopes'!$A$11:$BN$18,MATCH(Summary!BB$1,'RA10-Codisposal Slopes'!$A$9:$BN$9,1),FALSE),0)+IFERROR(VLOOKUP($B19,'IA1-Final Void inc Ramps'!$A$11:$BN$18,MATCH(Summary!BB$1,'IA1-Final Void inc Ramps'!$A$9:$BN$9,1),FALSE),0)</f>
        <v>569.90300000000002</v>
      </c>
      <c r="BC19" s="47">
        <f>IFERROR(VLOOKUP($B19,'RA1- Elevated Dumps Upper'!$A$11:$BN$18,MATCH(Summary!BC$1,'RA1- Elevated Dumps Upper'!$A$9:$BN$9,1),FALSE),0)+IFERROR(VLOOKUP($B19,'RA2-Elevated Dumps Slopes'!$A$11:$BN$18,MATCH(Summary!BC$1,'RA2-Elevated Dumps Slopes'!$A$9:$BN$9,1),FALSE),0)+IFERROR(VLOOKUP($B19,'RA3-Backfilled Pits'!$A$11:$BN$18,MATCH(Summary!BC$1,'RA3-Backfilled Pits'!$A$9:$BN$9,1),FALSE),0)+IFERROR(VLOOKUP($B19,'RA4-Tracks_Roads'!$A$11:$BN$18,MATCH(Summary!BC$1,'RA4-Tracks_Roads'!$A$9:$BN$9,1),FALSE),0)+IFERROR(VLOOKUP($B19,'RA5-ROM'!$A$11:$BN$18,MATCH(Summary!BC$1,'RA5-ROM'!$A$9:$BN$9,1),FALSE),0)+IFERROR(VLOOKUP($B19,'RA6-CHPP'!$A$11:$BN$18,MATCH(Summary!BC$1,'RA6-CHPP'!$A$9:$BN$9,1),FALSE),0)+IFERROR(VLOOKUP($B19,'RA7-Mine Infrastructure Area'!$A$11:$BN$18,MATCH(Summary!BC$1,'RA7-Mine Infrastructure Area'!$A$9:$BN$9,1),FALSE),0)+IFERROR(VLOOKUP($B19,'RA8-Water Management Structures'!$A$11:$BN$18,MATCH(Summary!BC$1,'RA8-Water Management Structures'!$A$9:$BN$9,1),FALSE),0)+IFERROR(VLOOKUP($B19,'RA9-Codisposal Upper'!$A$11:$BN$18,MATCH(Summary!BC$1,'RA9-Codisposal Upper'!$A$9:$BN$9,1),FALSE),0)+IFERROR(VLOOKUP($B19,'RA10-Codisposal Slopes'!$A$11:$BN$18,MATCH(Summary!BC$1,'RA10-Codisposal Slopes'!$A$9:$BN$9,1),FALSE),0)+IFERROR(VLOOKUP($B19,'IA1-Final Void inc Ramps'!$A$11:$BN$18,MATCH(Summary!BC$1,'IA1-Final Void inc Ramps'!$A$9:$BN$9,1),FALSE),0)</f>
        <v>569.90300000000002</v>
      </c>
      <c r="BD19" s="47">
        <f>IFERROR(VLOOKUP($B19,'RA1- Elevated Dumps Upper'!$A$11:$BN$18,MATCH(Summary!BD$1,'RA1- Elevated Dumps Upper'!$A$9:$BN$9,1),FALSE),0)+IFERROR(VLOOKUP($B19,'RA2-Elevated Dumps Slopes'!$A$11:$BN$18,MATCH(Summary!BD$1,'RA2-Elevated Dumps Slopes'!$A$9:$BN$9,1),FALSE),0)+IFERROR(VLOOKUP($B19,'RA3-Backfilled Pits'!$A$11:$BN$18,MATCH(Summary!BD$1,'RA3-Backfilled Pits'!$A$9:$BN$9,1),FALSE),0)+IFERROR(VLOOKUP($B19,'RA4-Tracks_Roads'!$A$11:$BN$18,MATCH(Summary!BD$1,'RA4-Tracks_Roads'!$A$9:$BN$9,1),FALSE),0)+IFERROR(VLOOKUP($B19,'RA5-ROM'!$A$11:$BN$18,MATCH(Summary!BD$1,'RA5-ROM'!$A$9:$BN$9,1),FALSE),0)+IFERROR(VLOOKUP($B19,'RA6-CHPP'!$A$11:$BN$18,MATCH(Summary!BD$1,'RA6-CHPP'!$A$9:$BN$9,1),FALSE),0)+IFERROR(VLOOKUP($B19,'RA7-Mine Infrastructure Area'!$A$11:$BN$18,MATCH(Summary!BD$1,'RA7-Mine Infrastructure Area'!$A$9:$BN$9,1),FALSE),0)+IFERROR(VLOOKUP($B19,'RA8-Water Management Structures'!$A$11:$BN$18,MATCH(Summary!BD$1,'RA8-Water Management Structures'!$A$9:$BN$9,1),FALSE),0)+IFERROR(VLOOKUP($B19,'RA9-Codisposal Upper'!$A$11:$BN$18,MATCH(Summary!BD$1,'RA9-Codisposal Upper'!$A$9:$BN$9,1),FALSE),0)+IFERROR(VLOOKUP($B19,'RA10-Codisposal Slopes'!$A$11:$BN$18,MATCH(Summary!BD$1,'RA10-Codisposal Slopes'!$A$9:$BN$9,1),FALSE),0)+IFERROR(VLOOKUP($B19,'IA1-Final Void inc Ramps'!$A$11:$BN$18,MATCH(Summary!BD$1,'IA1-Final Void inc Ramps'!$A$9:$BN$9,1),FALSE),0)</f>
        <v>569.90300000000002</v>
      </c>
      <c r="BE19" s="47">
        <f>IFERROR(VLOOKUP($B19,'RA1- Elevated Dumps Upper'!$A$11:$BN$18,MATCH(Summary!BE$1,'RA1- Elevated Dumps Upper'!$A$9:$BN$9,1),FALSE),0)+IFERROR(VLOOKUP($B19,'RA2-Elevated Dumps Slopes'!$A$11:$BN$18,MATCH(Summary!BE$1,'RA2-Elevated Dumps Slopes'!$A$9:$BN$9,1),FALSE),0)+IFERROR(VLOOKUP($B19,'RA3-Backfilled Pits'!$A$11:$BN$18,MATCH(Summary!BE$1,'RA3-Backfilled Pits'!$A$9:$BN$9,1),FALSE),0)+IFERROR(VLOOKUP($B19,'RA4-Tracks_Roads'!$A$11:$BN$18,MATCH(Summary!BE$1,'RA4-Tracks_Roads'!$A$9:$BN$9,1),FALSE),0)+IFERROR(VLOOKUP($B19,'RA5-ROM'!$A$11:$BN$18,MATCH(Summary!BE$1,'RA5-ROM'!$A$9:$BN$9,1),FALSE),0)+IFERROR(VLOOKUP($B19,'RA6-CHPP'!$A$11:$BN$18,MATCH(Summary!BE$1,'RA6-CHPP'!$A$9:$BN$9,1),FALSE),0)+IFERROR(VLOOKUP($B19,'RA7-Mine Infrastructure Area'!$A$11:$BN$18,MATCH(Summary!BE$1,'RA7-Mine Infrastructure Area'!$A$9:$BN$9,1),FALSE),0)+IFERROR(VLOOKUP($B19,'RA8-Water Management Structures'!$A$11:$BN$18,MATCH(Summary!BE$1,'RA8-Water Management Structures'!$A$9:$BN$9,1),FALSE),0)+IFERROR(VLOOKUP($B19,'RA9-Codisposal Upper'!$A$11:$BN$18,MATCH(Summary!BE$1,'RA9-Codisposal Upper'!$A$9:$BN$9,1),FALSE),0)+IFERROR(VLOOKUP($B19,'RA10-Codisposal Slopes'!$A$11:$BN$18,MATCH(Summary!BE$1,'RA10-Codisposal Slopes'!$A$9:$BN$9,1),FALSE),0)+IFERROR(VLOOKUP($B19,'IA1-Final Void inc Ramps'!$A$11:$BN$18,MATCH(Summary!BE$1,'IA1-Final Void inc Ramps'!$A$9:$BN$9,1),FALSE),0)</f>
        <v>569.90300000000002</v>
      </c>
      <c r="BF19" s="47">
        <f>IFERROR(VLOOKUP($B19,'RA1- Elevated Dumps Upper'!$A$11:$BN$18,MATCH(Summary!BF$1,'RA1- Elevated Dumps Upper'!$A$9:$BN$9,1),FALSE),0)+IFERROR(VLOOKUP($B19,'RA2-Elevated Dumps Slopes'!$A$11:$BN$18,MATCH(Summary!BF$1,'RA2-Elevated Dumps Slopes'!$A$9:$BN$9,1),FALSE),0)+IFERROR(VLOOKUP($B19,'RA3-Backfilled Pits'!$A$11:$BN$18,MATCH(Summary!BF$1,'RA3-Backfilled Pits'!$A$9:$BN$9,1),FALSE),0)+IFERROR(VLOOKUP($B19,'RA4-Tracks_Roads'!$A$11:$BN$18,MATCH(Summary!BF$1,'RA4-Tracks_Roads'!$A$9:$BN$9,1),FALSE),0)+IFERROR(VLOOKUP($B19,'RA5-ROM'!$A$11:$BN$18,MATCH(Summary!BF$1,'RA5-ROM'!$A$9:$BN$9,1),FALSE),0)+IFERROR(VLOOKUP($B19,'RA6-CHPP'!$A$11:$BN$18,MATCH(Summary!BF$1,'RA6-CHPP'!$A$9:$BN$9,1),FALSE),0)+IFERROR(VLOOKUP($B19,'RA7-Mine Infrastructure Area'!$A$11:$BN$18,MATCH(Summary!BF$1,'RA7-Mine Infrastructure Area'!$A$9:$BN$9,1),FALSE),0)+IFERROR(VLOOKUP($B19,'RA8-Water Management Structures'!$A$11:$BN$18,MATCH(Summary!BF$1,'RA8-Water Management Structures'!$A$9:$BN$9,1),FALSE),0)+IFERROR(VLOOKUP($B19,'RA9-Codisposal Upper'!$A$11:$BN$18,MATCH(Summary!BF$1,'RA9-Codisposal Upper'!$A$9:$BN$9,1),FALSE),0)+IFERROR(VLOOKUP($B19,'RA10-Codisposal Slopes'!$A$11:$BN$18,MATCH(Summary!BF$1,'RA10-Codisposal Slopes'!$A$9:$BN$9,1),FALSE),0)+IFERROR(VLOOKUP($B19,'IA1-Final Void inc Ramps'!$A$11:$BN$18,MATCH(Summary!BF$1,'IA1-Final Void inc Ramps'!$A$9:$BN$9,1),FALSE),0)</f>
        <v>569.90300000000002</v>
      </c>
      <c r="BG19" s="47">
        <f>IFERROR(VLOOKUP($B19,'RA1- Elevated Dumps Upper'!$A$11:$BN$18,MATCH(Summary!BG$1,'RA1- Elevated Dumps Upper'!$A$9:$BN$9,1),FALSE),0)+IFERROR(VLOOKUP($B19,'RA2-Elevated Dumps Slopes'!$A$11:$BN$18,MATCH(Summary!BG$1,'RA2-Elevated Dumps Slopes'!$A$9:$BN$9,1),FALSE),0)+IFERROR(VLOOKUP($B19,'RA3-Backfilled Pits'!$A$11:$BN$18,MATCH(Summary!BG$1,'RA3-Backfilled Pits'!$A$9:$BN$9,1),FALSE),0)+IFERROR(VLOOKUP($B19,'RA4-Tracks_Roads'!$A$11:$BN$18,MATCH(Summary!BG$1,'RA4-Tracks_Roads'!$A$9:$BN$9,1),FALSE),0)+IFERROR(VLOOKUP($B19,'RA5-ROM'!$A$11:$BN$18,MATCH(Summary!BG$1,'RA5-ROM'!$A$9:$BN$9,1),FALSE),0)+IFERROR(VLOOKUP($B19,'RA6-CHPP'!$A$11:$BN$18,MATCH(Summary!BG$1,'RA6-CHPP'!$A$9:$BN$9,1),FALSE),0)+IFERROR(VLOOKUP($B19,'RA7-Mine Infrastructure Area'!$A$11:$BN$18,MATCH(Summary!BG$1,'RA7-Mine Infrastructure Area'!$A$9:$BN$9,1),FALSE),0)+IFERROR(VLOOKUP($B19,'RA8-Water Management Structures'!$A$11:$BN$18,MATCH(Summary!BG$1,'RA8-Water Management Structures'!$A$9:$BN$9,1),FALSE),0)+IFERROR(VLOOKUP($B19,'RA9-Codisposal Upper'!$A$11:$BN$18,MATCH(Summary!BG$1,'RA9-Codisposal Upper'!$A$9:$BN$9,1),FALSE),0)+IFERROR(VLOOKUP($B19,'RA10-Codisposal Slopes'!$A$11:$BN$18,MATCH(Summary!BG$1,'RA10-Codisposal Slopes'!$A$9:$BN$9,1),FALSE),0)+IFERROR(VLOOKUP($B19,'IA1-Final Void inc Ramps'!$A$11:$BN$18,MATCH(Summary!BG$1,'IA1-Final Void inc Ramps'!$A$9:$BN$9,1),FALSE),0)</f>
        <v>569.90300000000002</v>
      </c>
      <c r="BH19" s="47">
        <f>IFERROR(VLOOKUP($B19,'RA1- Elevated Dumps Upper'!$A$11:$BN$18,MATCH(Summary!BH$1,'RA1- Elevated Dumps Upper'!$A$9:$BN$9,1),FALSE),0)+IFERROR(VLOOKUP($B19,'RA2-Elevated Dumps Slopes'!$A$11:$BN$18,MATCH(Summary!BH$1,'RA2-Elevated Dumps Slopes'!$A$9:$BN$9,1),FALSE),0)+IFERROR(VLOOKUP($B19,'RA3-Backfilled Pits'!$A$11:$BN$18,MATCH(Summary!BH$1,'RA3-Backfilled Pits'!$A$9:$BN$9,1),FALSE),0)+IFERROR(VLOOKUP($B19,'RA4-Tracks_Roads'!$A$11:$BN$18,MATCH(Summary!BH$1,'RA4-Tracks_Roads'!$A$9:$BN$9,1),FALSE),0)+IFERROR(VLOOKUP($B19,'RA5-ROM'!$A$11:$BN$18,MATCH(Summary!BH$1,'RA5-ROM'!$A$9:$BN$9,1),FALSE),0)+IFERROR(VLOOKUP($B19,'RA6-CHPP'!$A$11:$BN$18,MATCH(Summary!BH$1,'RA6-CHPP'!$A$9:$BN$9,1),FALSE),0)+IFERROR(VLOOKUP($B19,'RA7-Mine Infrastructure Area'!$A$11:$BN$18,MATCH(Summary!BH$1,'RA7-Mine Infrastructure Area'!$A$9:$BN$9,1),FALSE),0)+IFERROR(VLOOKUP($B19,'RA8-Water Management Structures'!$A$11:$BN$18,MATCH(Summary!BH$1,'RA8-Water Management Structures'!$A$9:$BN$9,1),FALSE),0)+IFERROR(VLOOKUP($B19,'RA9-Codisposal Upper'!$A$11:$BN$18,MATCH(Summary!BH$1,'RA9-Codisposal Upper'!$A$9:$BN$9,1),FALSE),0)+IFERROR(VLOOKUP($B19,'RA10-Codisposal Slopes'!$A$11:$BN$18,MATCH(Summary!BH$1,'RA10-Codisposal Slopes'!$A$9:$BN$9,1),FALSE),0)+IFERROR(VLOOKUP($B19,'IA1-Final Void inc Ramps'!$A$11:$BN$18,MATCH(Summary!BH$1,'IA1-Final Void inc Ramps'!$A$9:$BN$9,1),FALSE),0)</f>
        <v>569.90300000000002</v>
      </c>
      <c r="BI19" s="47">
        <f>IFERROR(VLOOKUP($B19,'RA1- Elevated Dumps Upper'!$A$11:$BN$18,MATCH(Summary!BI$1,'RA1- Elevated Dumps Upper'!$A$9:$BN$9,1),FALSE),0)+IFERROR(VLOOKUP($B19,'RA2-Elevated Dumps Slopes'!$A$11:$BN$18,MATCH(Summary!BI$1,'RA2-Elevated Dumps Slopes'!$A$9:$BN$9,1),FALSE),0)+IFERROR(VLOOKUP($B19,'RA3-Backfilled Pits'!$A$11:$BN$18,MATCH(Summary!BI$1,'RA3-Backfilled Pits'!$A$9:$BN$9,1),FALSE),0)+IFERROR(VLOOKUP($B19,'RA4-Tracks_Roads'!$A$11:$BN$18,MATCH(Summary!BI$1,'RA4-Tracks_Roads'!$A$9:$BN$9,1),FALSE),0)+IFERROR(VLOOKUP($B19,'RA5-ROM'!$A$11:$BN$18,MATCH(Summary!BI$1,'RA5-ROM'!$A$9:$BN$9,1),FALSE),0)+IFERROR(VLOOKUP($B19,'RA6-CHPP'!$A$11:$BN$18,MATCH(Summary!BI$1,'RA6-CHPP'!$A$9:$BN$9,1),FALSE),0)+IFERROR(VLOOKUP($B19,'RA7-Mine Infrastructure Area'!$A$11:$BN$18,MATCH(Summary!BI$1,'RA7-Mine Infrastructure Area'!$A$9:$BN$9,1),FALSE),0)+IFERROR(VLOOKUP($B19,'RA8-Water Management Structures'!$A$11:$BN$18,MATCH(Summary!BI$1,'RA8-Water Management Structures'!$A$9:$BN$9,1),FALSE),0)+IFERROR(VLOOKUP($B19,'RA9-Codisposal Upper'!$A$11:$BN$18,MATCH(Summary!BI$1,'RA9-Codisposal Upper'!$A$9:$BN$9,1),FALSE),0)+IFERROR(VLOOKUP($B19,'RA10-Codisposal Slopes'!$A$11:$BN$18,MATCH(Summary!BI$1,'RA10-Codisposal Slopes'!$A$9:$BN$9,1),FALSE),0)+IFERROR(VLOOKUP($B19,'IA1-Final Void inc Ramps'!$A$11:$BN$18,MATCH(Summary!BI$1,'IA1-Final Void inc Ramps'!$A$9:$BN$9,1),FALSE),0)</f>
        <v>569.90300000000002</v>
      </c>
      <c r="BJ19" s="47">
        <f>IFERROR(VLOOKUP($B19,'RA1- Elevated Dumps Upper'!$A$11:$BN$18,MATCH(Summary!BJ$1,'RA1- Elevated Dumps Upper'!$A$9:$BN$9,1),FALSE),0)+IFERROR(VLOOKUP($B19,'RA2-Elevated Dumps Slopes'!$A$11:$BN$18,MATCH(Summary!BJ$1,'RA2-Elevated Dumps Slopes'!$A$9:$BN$9,1),FALSE),0)+IFERROR(VLOOKUP($B19,'RA3-Backfilled Pits'!$A$11:$BN$18,MATCH(Summary!BJ$1,'RA3-Backfilled Pits'!$A$9:$BN$9,1),FALSE),0)+IFERROR(VLOOKUP($B19,'RA4-Tracks_Roads'!$A$11:$BN$18,MATCH(Summary!BJ$1,'RA4-Tracks_Roads'!$A$9:$BN$9,1),FALSE),0)+IFERROR(VLOOKUP($B19,'RA5-ROM'!$A$11:$BN$18,MATCH(Summary!BJ$1,'RA5-ROM'!$A$9:$BN$9,1),FALSE),0)+IFERROR(VLOOKUP($B19,'RA6-CHPP'!$A$11:$BN$18,MATCH(Summary!BJ$1,'RA6-CHPP'!$A$9:$BN$9,1),FALSE),0)+IFERROR(VLOOKUP($B19,'RA7-Mine Infrastructure Area'!$A$11:$BN$18,MATCH(Summary!BJ$1,'RA7-Mine Infrastructure Area'!$A$9:$BN$9,1),FALSE),0)+IFERROR(VLOOKUP($B19,'RA8-Water Management Structures'!$A$11:$BN$18,MATCH(Summary!BJ$1,'RA8-Water Management Structures'!$A$9:$BN$9,1),FALSE),0)+IFERROR(VLOOKUP($B19,'RA9-Codisposal Upper'!$A$11:$BN$18,MATCH(Summary!BJ$1,'RA9-Codisposal Upper'!$A$9:$BN$9,1),FALSE),0)+IFERROR(VLOOKUP($B19,'RA10-Codisposal Slopes'!$A$11:$BN$18,MATCH(Summary!BJ$1,'RA10-Codisposal Slopes'!$A$9:$BN$9,1),FALSE),0)+IFERROR(VLOOKUP($B19,'IA1-Final Void inc Ramps'!$A$11:$BN$18,MATCH(Summary!BJ$1,'IA1-Final Void inc Ramps'!$A$9:$BN$9,1),FALSE),0)</f>
        <v>569.90300000000002</v>
      </c>
      <c r="BK19" s="47">
        <f>IFERROR(VLOOKUP($B19,'RA1- Elevated Dumps Upper'!$A$11:$BN$18,MATCH(Summary!BK$1,'RA1- Elevated Dumps Upper'!$A$9:$BN$9,1),FALSE),0)+IFERROR(VLOOKUP($B19,'RA2-Elevated Dumps Slopes'!$A$11:$BN$18,MATCH(Summary!BK$1,'RA2-Elevated Dumps Slopes'!$A$9:$BN$9,1),FALSE),0)+IFERROR(VLOOKUP($B19,'RA3-Backfilled Pits'!$A$11:$BN$18,MATCH(Summary!BK$1,'RA3-Backfilled Pits'!$A$9:$BN$9,1),FALSE),0)+IFERROR(VLOOKUP($B19,'RA4-Tracks_Roads'!$A$11:$BN$18,MATCH(Summary!BK$1,'RA4-Tracks_Roads'!$A$9:$BN$9,1),FALSE),0)+IFERROR(VLOOKUP($B19,'RA5-ROM'!$A$11:$BN$18,MATCH(Summary!BK$1,'RA5-ROM'!$A$9:$BN$9,1),FALSE),0)+IFERROR(VLOOKUP($B19,'RA6-CHPP'!$A$11:$BN$18,MATCH(Summary!BK$1,'RA6-CHPP'!$A$9:$BN$9,1),FALSE),0)+IFERROR(VLOOKUP($B19,'RA7-Mine Infrastructure Area'!$A$11:$BN$18,MATCH(Summary!BK$1,'RA7-Mine Infrastructure Area'!$A$9:$BN$9,1),FALSE),0)+IFERROR(VLOOKUP($B19,'RA8-Water Management Structures'!$A$11:$BN$18,MATCH(Summary!BK$1,'RA8-Water Management Structures'!$A$9:$BN$9,1),FALSE),0)+IFERROR(VLOOKUP($B19,'RA9-Codisposal Upper'!$A$11:$BN$18,MATCH(Summary!BK$1,'RA9-Codisposal Upper'!$A$9:$BN$9,1),FALSE),0)+IFERROR(VLOOKUP($B19,'RA10-Codisposal Slopes'!$A$11:$BN$18,MATCH(Summary!BK$1,'RA10-Codisposal Slopes'!$A$9:$BN$9,1),FALSE),0)+IFERROR(VLOOKUP($B19,'IA1-Final Void inc Ramps'!$A$11:$BN$18,MATCH(Summary!BK$1,'IA1-Final Void inc Ramps'!$A$9:$BN$9,1),FALSE),0)</f>
        <v>569.90300000000002</v>
      </c>
      <c r="BL19" s="47">
        <f>IFERROR(VLOOKUP($B19,'RA1- Elevated Dumps Upper'!$A$11:$BN$18,MATCH(Summary!BL$1,'RA1- Elevated Dumps Upper'!$A$9:$BN$9,1),FALSE),0)+IFERROR(VLOOKUP($B19,'RA2-Elevated Dumps Slopes'!$A$11:$BN$18,MATCH(Summary!BL$1,'RA2-Elevated Dumps Slopes'!$A$9:$BN$9,1),FALSE),0)+IFERROR(VLOOKUP($B19,'RA3-Backfilled Pits'!$A$11:$BN$18,MATCH(Summary!BL$1,'RA3-Backfilled Pits'!$A$9:$BN$9,1),FALSE),0)+IFERROR(VLOOKUP($B19,'RA4-Tracks_Roads'!$A$11:$BN$18,MATCH(Summary!BL$1,'RA4-Tracks_Roads'!$A$9:$BN$9,1),FALSE),0)+IFERROR(VLOOKUP($B19,'RA5-ROM'!$A$11:$BN$18,MATCH(Summary!BL$1,'RA5-ROM'!$A$9:$BN$9,1),FALSE),0)+IFERROR(VLOOKUP($B19,'RA6-CHPP'!$A$11:$BN$18,MATCH(Summary!BL$1,'RA6-CHPP'!$A$9:$BN$9,1),FALSE),0)+IFERROR(VLOOKUP($B19,'RA7-Mine Infrastructure Area'!$A$11:$BN$18,MATCH(Summary!BL$1,'RA7-Mine Infrastructure Area'!$A$9:$BN$9,1),FALSE),0)+IFERROR(VLOOKUP($B19,'RA8-Water Management Structures'!$A$11:$BN$18,MATCH(Summary!BL$1,'RA8-Water Management Structures'!$A$9:$BN$9,1),FALSE),0)+IFERROR(VLOOKUP($B19,'RA9-Codisposal Upper'!$A$11:$BN$18,MATCH(Summary!BL$1,'RA9-Codisposal Upper'!$A$9:$BN$9,1),FALSE),0)+IFERROR(VLOOKUP($B19,'RA10-Codisposal Slopes'!$A$11:$BN$18,MATCH(Summary!BL$1,'RA10-Codisposal Slopes'!$A$9:$BN$9,1),FALSE),0)+IFERROR(VLOOKUP($B19,'IA1-Final Void inc Ramps'!$A$11:$BN$18,MATCH(Summary!BL$1,'IA1-Final Void inc Ramps'!$A$9:$BN$9,1),FALSE),0)</f>
        <v>569.90300000000002</v>
      </c>
      <c r="BM19" s="47">
        <f>IFERROR(VLOOKUP($B19,'RA1- Elevated Dumps Upper'!$A$11:$BN$18,MATCH(Summary!BM$1,'RA1- Elevated Dumps Upper'!$A$9:$BN$9,1),FALSE),0)+IFERROR(VLOOKUP($B19,'RA2-Elevated Dumps Slopes'!$A$11:$BN$18,MATCH(Summary!BM$1,'RA2-Elevated Dumps Slopes'!$A$9:$BN$9,1),FALSE),0)+IFERROR(VLOOKUP($B19,'RA3-Backfilled Pits'!$A$11:$BN$18,MATCH(Summary!BM$1,'RA3-Backfilled Pits'!$A$9:$BN$9,1),FALSE),0)+IFERROR(VLOOKUP($B19,'RA4-Tracks_Roads'!$A$11:$BN$18,MATCH(Summary!BM$1,'RA4-Tracks_Roads'!$A$9:$BN$9,1),FALSE),0)+IFERROR(VLOOKUP($B19,'RA5-ROM'!$A$11:$BN$18,MATCH(Summary!BM$1,'RA5-ROM'!$A$9:$BN$9,1),FALSE),0)+IFERROR(VLOOKUP($B19,'RA6-CHPP'!$A$11:$BN$18,MATCH(Summary!BM$1,'RA6-CHPP'!$A$9:$BN$9,1),FALSE),0)+IFERROR(VLOOKUP($B19,'RA7-Mine Infrastructure Area'!$A$11:$BN$18,MATCH(Summary!BM$1,'RA7-Mine Infrastructure Area'!$A$9:$BN$9,1),FALSE),0)+IFERROR(VLOOKUP($B19,'RA8-Water Management Structures'!$A$11:$BN$18,MATCH(Summary!BM$1,'RA8-Water Management Structures'!$A$9:$BN$9,1),FALSE),0)+IFERROR(VLOOKUP($B19,'RA9-Codisposal Upper'!$A$11:$BN$18,MATCH(Summary!BM$1,'RA9-Codisposal Upper'!$A$9:$BN$9,1),FALSE),0)+IFERROR(VLOOKUP($B19,'RA10-Codisposal Slopes'!$A$11:$BN$18,MATCH(Summary!BM$1,'RA10-Codisposal Slopes'!$A$9:$BN$9,1),FALSE),0)+IFERROR(VLOOKUP($B19,'IA1-Final Void inc Ramps'!$A$11:$BN$18,MATCH(Summary!BM$1,'IA1-Final Void inc Ramps'!$A$9:$BN$9,1),FALSE),0)</f>
        <v>569.90300000000002</v>
      </c>
      <c r="BN19" s="47">
        <f>IFERROR(VLOOKUP($B19,'RA1- Elevated Dumps Upper'!$A$11:$BN$18,MATCH(Summary!BN$1,'RA1- Elevated Dumps Upper'!$A$9:$BN$9,1),FALSE),0)+IFERROR(VLOOKUP($B19,'RA2-Elevated Dumps Slopes'!$A$11:$BN$18,MATCH(Summary!BN$1,'RA2-Elevated Dumps Slopes'!$A$9:$BN$9,1),FALSE),0)+IFERROR(VLOOKUP($B19,'RA3-Backfilled Pits'!$A$11:$BN$18,MATCH(Summary!BN$1,'RA3-Backfilled Pits'!$A$9:$BN$9,1),FALSE),0)+IFERROR(VLOOKUP($B19,'RA4-Tracks_Roads'!$A$11:$BN$18,MATCH(Summary!BN$1,'RA4-Tracks_Roads'!$A$9:$BN$9,1),FALSE),0)+IFERROR(VLOOKUP($B19,'RA5-ROM'!$A$11:$BN$18,MATCH(Summary!BN$1,'RA5-ROM'!$A$9:$BN$9,1),FALSE),0)+IFERROR(VLOOKUP($B19,'RA6-CHPP'!$A$11:$BN$18,MATCH(Summary!BN$1,'RA6-CHPP'!$A$9:$BN$9,1),FALSE),0)+IFERROR(VLOOKUP($B19,'RA7-Mine Infrastructure Area'!$A$11:$BN$18,MATCH(Summary!BN$1,'RA7-Mine Infrastructure Area'!$A$9:$BN$9,1),FALSE),0)+IFERROR(VLOOKUP($B19,'RA8-Water Management Structures'!$A$11:$BN$18,MATCH(Summary!BN$1,'RA8-Water Management Structures'!$A$9:$BN$9,1),FALSE),0)+IFERROR(VLOOKUP($B19,'RA9-Codisposal Upper'!$A$11:$BN$18,MATCH(Summary!BN$1,'RA9-Codisposal Upper'!$A$9:$BN$9,1),FALSE),0)+IFERROR(VLOOKUP($B19,'RA10-Codisposal Slopes'!$A$11:$BN$18,MATCH(Summary!BN$1,'RA10-Codisposal Slopes'!$A$9:$BN$9,1),FALSE),0)+IFERROR(VLOOKUP($B19,'IA1-Final Void inc Ramps'!$A$11:$BN$18,MATCH(Summary!BN$1,'IA1-Final Void inc Ramps'!$A$9:$BN$9,1),FALSE),0)</f>
        <v>569.90300000000002</v>
      </c>
    </row>
    <row r="20" spans="1:66" x14ac:dyDescent="0.35">
      <c r="B20" t="s">
        <v>17</v>
      </c>
      <c r="D20" s="47">
        <f>IFERROR(VLOOKUP($B20,'RA1- Elevated Dumps Upper'!$A$11:$BN$18,MATCH(Summary!D$1,'RA1- Elevated Dumps Upper'!$A$9:$BN$9,1),FALSE),0)+IFERROR(VLOOKUP($B20,'RA2-Elevated Dumps Slopes'!$A$11:$BN$18,MATCH(Summary!D$1,'RA2-Elevated Dumps Slopes'!$A$9:$BN$9,1),FALSE),0)+IFERROR(VLOOKUP($B20,'RA3-Backfilled Pits'!$A$11:$BN$18,MATCH(Summary!D$1,'RA3-Backfilled Pits'!$A$9:$BN$9,1),FALSE),0)+IFERROR(VLOOKUP($B20,'RA4-Tracks_Roads'!$A$11:$BN$18,MATCH(Summary!D$1,'RA4-Tracks_Roads'!$A$9:$BN$9,1),FALSE),0)+IFERROR(VLOOKUP($B20,'RA5-ROM'!$A$11:$BN$18,MATCH(Summary!D$1,'RA5-ROM'!$A$9:$BN$9,1),FALSE),0)+IFERROR(VLOOKUP($B20,'RA6-CHPP'!$A$11:$BN$18,MATCH(Summary!D$1,'RA6-CHPP'!$A$9:$BN$9,1),FALSE),0)+IFERROR(VLOOKUP($B20,'RA7-Mine Infrastructure Area'!$A$11:$BN$18,MATCH(Summary!D$1,'RA7-Mine Infrastructure Area'!$A$9:$BN$9,1),FALSE),0)+IFERROR(VLOOKUP($B20,'RA8-Water Management Structures'!$A$11:$BN$18,MATCH(Summary!D$1,'RA8-Water Management Structures'!$A$9:$BN$9,1),FALSE),0)+IFERROR(VLOOKUP($B20,'RA9-Codisposal Upper'!$A$11:$BN$18,MATCH(Summary!D$1,'RA9-Codisposal Upper'!$A$9:$BN$9,1),FALSE),0)+IFERROR(VLOOKUP($B20,'RA10-Codisposal Slopes'!$A$11:$BN$18,MATCH(Summary!D$1,'RA10-Codisposal Slopes'!$A$9:$BN$9,1),FALSE),0)+IFERROR(VLOOKUP($B20,'IA1-Final Void inc Ramps'!$A$11:$BN$18,MATCH(Summary!D$1,'IA1-Final Void inc Ramps'!$A$9:$BN$9,1),FALSE),0)</f>
        <v>0</v>
      </c>
      <c r="E20" s="47">
        <f>IFERROR(VLOOKUP($B20,'RA1- Elevated Dumps Upper'!$A$11:$BN$18,MATCH(Summary!E$1,'RA1- Elevated Dumps Upper'!$A$9:$BN$9,1),FALSE),0)+IFERROR(VLOOKUP($B20,'RA2-Elevated Dumps Slopes'!$A$11:$BN$18,MATCH(Summary!E$1,'RA2-Elevated Dumps Slopes'!$A$9:$BN$9,1),FALSE),0)+IFERROR(VLOOKUP($B20,'RA3-Backfilled Pits'!$A$11:$BN$18,MATCH(Summary!E$1,'RA3-Backfilled Pits'!$A$9:$BN$9,1),FALSE),0)+IFERROR(VLOOKUP($B20,'RA4-Tracks_Roads'!$A$11:$BN$18,MATCH(Summary!E$1,'RA4-Tracks_Roads'!$A$9:$BN$9,1),FALSE),0)+IFERROR(VLOOKUP($B20,'RA5-ROM'!$A$11:$BN$18,MATCH(Summary!E$1,'RA5-ROM'!$A$9:$BN$9,1),FALSE),0)+IFERROR(VLOOKUP($B20,'RA6-CHPP'!$A$11:$BN$18,MATCH(Summary!E$1,'RA6-CHPP'!$A$9:$BN$9,1),FALSE),0)+IFERROR(VLOOKUP($B20,'RA7-Mine Infrastructure Area'!$A$11:$BN$18,MATCH(Summary!E$1,'RA7-Mine Infrastructure Area'!$A$9:$BN$9,1),FALSE),0)+IFERROR(VLOOKUP($B20,'RA8-Water Management Structures'!$A$11:$BN$18,MATCH(Summary!E$1,'RA8-Water Management Structures'!$A$9:$BN$9,1),FALSE),0)+IFERROR(VLOOKUP($B20,'RA9-Codisposal Upper'!$A$11:$BN$18,MATCH(Summary!E$1,'RA9-Codisposal Upper'!$A$9:$BN$9,1),FALSE),0)+IFERROR(VLOOKUP($B20,'RA10-Codisposal Slopes'!$A$11:$BN$18,MATCH(Summary!E$1,'RA10-Codisposal Slopes'!$A$9:$BN$9,1),FALSE),0)+IFERROR(VLOOKUP($B20,'IA1-Final Void inc Ramps'!$A$11:$BN$18,MATCH(Summary!E$1,'IA1-Final Void inc Ramps'!$A$9:$BN$9,1),FALSE),0)</f>
        <v>0</v>
      </c>
      <c r="F20" s="47">
        <f>IFERROR(VLOOKUP($B20,'RA1- Elevated Dumps Upper'!$A$11:$BN$18,MATCH(Summary!F$1,'RA1- Elevated Dumps Upper'!$A$9:$BN$9,1),FALSE),0)+IFERROR(VLOOKUP($B20,'RA2-Elevated Dumps Slopes'!$A$11:$BN$18,MATCH(Summary!F$1,'RA2-Elevated Dumps Slopes'!$A$9:$BN$9,1),FALSE),0)+IFERROR(VLOOKUP($B20,'RA3-Backfilled Pits'!$A$11:$BN$18,MATCH(Summary!F$1,'RA3-Backfilled Pits'!$A$9:$BN$9,1),FALSE),0)+IFERROR(VLOOKUP($B20,'RA4-Tracks_Roads'!$A$11:$BN$18,MATCH(Summary!F$1,'RA4-Tracks_Roads'!$A$9:$BN$9,1),FALSE),0)+IFERROR(VLOOKUP($B20,'RA5-ROM'!$A$11:$BN$18,MATCH(Summary!F$1,'RA5-ROM'!$A$9:$BN$9,1),FALSE),0)+IFERROR(VLOOKUP($B20,'RA6-CHPP'!$A$11:$BN$18,MATCH(Summary!F$1,'RA6-CHPP'!$A$9:$BN$9,1),FALSE),0)+IFERROR(VLOOKUP($B20,'RA7-Mine Infrastructure Area'!$A$11:$BN$18,MATCH(Summary!F$1,'RA7-Mine Infrastructure Area'!$A$9:$BN$9,1),FALSE),0)+IFERROR(VLOOKUP($B20,'RA8-Water Management Structures'!$A$11:$BN$18,MATCH(Summary!F$1,'RA8-Water Management Structures'!$A$9:$BN$9,1),FALSE),0)+IFERROR(VLOOKUP($B20,'RA9-Codisposal Upper'!$A$11:$BN$18,MATCH(Summary!F$1,'RA9-Codisposal Upper'!$A$9:$BN$9,1),FALSE),0)+IFERROR(VLOOKUP($B20,'RA10-Codisposal Slopes'!$A$11:$BN$18,MATCH(Summary!F$1,'RA10-Codisposal Slopes'!$A$9:$BN$9,1),FALSE),0)+IFERROR(VLOOKUP($B20,'IA1-Final Void inc Ramps'!$A$11:$BN$18,MATCH(Summary!F$1,'IA1-Final Void inc Ramps'!$A$9:$BN$9,1),FALSE),0)</f>
        <v>0</v>
      </c>
      <c r="G20" s="47">
        <f>IFERROR(VLOOKUP($B20,'RA1- Elevated Dumps Upper'!$A$11:$BN$18,MATCH(Summary!G$1,'RA1- Elevated Dumps Upper'!$A$9:$BN$9,1),FALSE),0)+IFERROR(VLOOKUP($B20,'RA2-Elevated Dumps Slopes'!$A$11:$BN$18,MATCH(Summary!G$1,'RA2-Elevated Dumps Slopes'!$A$9:$BN$9,1),FALSE),0)+IFERROR(VLOOKUP($B20,'RA3-Backfilled Pits'!$A$11:$BN$18,MATCH(Summary!G$1,'RA3-Backfilled Pits'!$A$9:$BN$9,1),FALSE),0)+IFERROR(VLOOKUP($B20,'RA4-Tracks_Roads'!$A$11:$BN$18,MATCH(Summary!G$1,'RA4-Tracks_Roads'!$A$9:$BN$9,1),FALSE),0)+IFERROR(VLOOKUP($B20,'RA5-ROM'!$A$11:$BN$18,MATCH(Summary!G$1,'RA5-ROM'!$A$9:$BN$9,1),FALSE),0)+IFERROR(VLOOKUP($B20,'RA6-CHPP'!$A$11:$BN$18,MATCH(Summary!G$1,'RA6-CHPP'!$A$9:$BN$9,1),FALSE),0)+IFERROR(VLOOKUP($B20,'RA7-Mine Infrastructure Area'!$A$11:$BN$18,MATCH(Summary!G$1,'RA7-Mine Infrastructure Area'!$A$9:$BN$9,1),FALSE),0)+IFERROR(VLOOKUP($B20,'RA8-Water Management Structures'!$A$11:$BN$18,MATCH(Summary!G$1,'RA8-Water Management Structures'!$A$9:$BN$9,1),FALSE),0)+IFERROR(VLOOKUP($B20,'RA9-Codisposal Upper'!$A$11:$BN$18,MATCH(Summary!G$1,'RA9-Codisposal Upper'!$A$9:$BN$9,1),FALSE),0)+IFERROR(VLOOKUP($B20,'RA10-Codisposal Slopes'!$A$11:$BN$18,MATCH(Summary!G$1,'RA10-Codisposal Slopes'!$A$9:$BN$9,1),FALSE),0)+IFERROR(VLOOKUP($B20,'IA1-Final Void inc Ramps'!$A$11:$BN$18,MATCH(Summary!G$1,'IA1-Final Void inc Ramps'!$A$9:$BN$9,1),FALSE),0)</f>
        <v>0</v>
      </c>
      <c r="H20" s="47">
        <f>IFERROR(VLOOKUP($B20,'RA1- Elevated Dumps Upper'!$A$11:$BN$18,MATCH(Summary!H$1,'RA1- Elevated Dumps Upper'!$A$9:$BN$9,1),FALSE),0)+IFERROR(VLOOKUP($B20,'RA2-Elevated Dumps Slopes'!$A$11:$BN$18,MATCH(Summary!H$1,'RA2-Elevated Dumps Slopes'!$A$9:$BN$9,1),FALSE),0)+IFERROR(VLOOKUP($B20,'RA3-Backfilled Pits'!$A$11:$BN$18,MATCH(Summary!H$1,'RA3-Backfilled Pits'!$A$9:$BN$9,1),FALSE),0)+IFERROR(VLOOKUP($B20,'RA4-Tracks_Roads'!$A$11:$BN$18,MATCH(Summary!H$1,'RA4-Tracks_Roads'!$A$9:$BN$9,1),FALSE),0)+IFERROR(VLOOKUP($B20,'RA5-ROM'!$A$11:$BN$18,MATCH(Summary!H$1,'RA5-ROM'!$A$9:$BN$9,1),FALSE),0)+IFERROR(VLOOKUP($B20,'RA6-CHPP'!$A$11:$BN$18,MATCH(Summary!H$1,'RA6-CHPP'!$A$9:$BN$9,1),FALSE),0)+IFERROR(VLOOKUP($B20,'RA7-Mine Infrastructure Area'!$A$11:$BN$18,MATCH(Summary!H$1,'RA7-Mine Infrastructure Area'!$A$9:$BN$9,1),FALSE),0)+IFERROR(VLOOKUP($B20,'RA8-Water Management Structures'!$A$11:$BN$18,MATCH(Summary!H$1,'RA8-Water Management Structures'!$A$9:$BN$9,1),FALSE),0)+IFERROR(VLOOKUP($B20,'RA9-Codisposal Upper'!$A$11:$BN$18,MATCH(Summary!H$1,'RA9-Codisposal Upper'!$A$9:$BN$9,1),FALSE),0)+IFERROR(VLOOKUP($B20,'RA10-Codisposal Slopes'!$A$11:$BN$18,MATCH(Summary!H$1,'RA10-Codisposal Slopes'!$A$9:$BN$9,1),FALSE),0)+IFERROR(VLOOKUP($B20,'IA1-Final Void inc Ramps'!$A$11:$BN$18,MATCH(Summary!H$1,'IA1-Final Void inc Ramps'!$A$9:$BN$9,1),FALSE),0)</f>
        <v>0</v>
      </c>
      <c r="I20" s="47">
        <f>IFERROR(VLOOKUP($B20,'RA1- Elevated Dumps Upper'!$A$11:$BN$18,MATCH(Summary!I$1,'RA1- Elevated Dumps Upper'!$A$9:$BN$9,1),FALSE),0)+IFERROR(VLOOKUP($B20,'RA2-Elevated Dumps Slopes'!$A$11:$BN$18,MATCH(Summary!I$1,'RA2-Elevated Dumps Slopes'!$A$9:$BN$9,1),FALSE),0)+IFERROR(VLOOKUP($B20,'RA3-Backfilled Pits'!$A$11:$BN$18,MATCH(Summary!I$1,'RA3-Backfilled Pits'!$A$9:$BN$9,1),FALSE),0)+IFERROR(VLOOKUP($B20,'RA4-Tracks_Roads'!$A$11:$BN$18,MATCH(Summary!I$1,'RA4-Tracks_Roads'!$A$9:$BN$9,1),FALSE),0)+IFERROR(VLOOKUP($B20,'RA5-ROM'!$A$11:$BN$18,MATCH(Summary!I$1,'RA5-ROM'!$A$9:$BN$9,1),FALSE),0)+IFERROR(VLOOKUP($B20,'RA6-CHPP'!$A$11:$BN$18,MATCH(Summary!I$1,'RA6-CHPP'!$A$9:$BN$9,1),FALSE),0)+IFERROR(VLOOKUP($B20,'RA7-Mine Infrastructure Area'!$A$11:$BN$18,MATCH(Summary!I$1,'RA7-Mine Infrastructure Area'!$A$9:$BN$9,1),FALSE),0)+IFERROR(VLOOKUP($B20,'RA8-Water Management Structures'!$A$11:$BN$18,MATCH(Summary!I$1,'RA8-Water Management Structures'!$A$9:$BN$9,1),FALSE),0)+IFERROR(VLOOKUP($B20,'RA9-Codisposal Upper'!$A$11:$BN$18,MATCH(Summary!I$1,'RA9-Codisposal Upper'!$A$9:$BN$9,1),FALSE),0)+IFERROR(VLOOKUP($B20,'RA10-Codisposal Slopes'!$A$11:$BN$18,MATCH(Summary!I$1,'RA10-Codisposal Slopes'!$A$9:$BN$9,1),FALSE),0)+IFERROR(VLOOKUP($B20,'IA1-Final Void inc Ramps'!$A$11:$BN$18,MATCH(Summary!I$1,'IA1-Final Void inc Ramps'!$A$9:$BN$9,1),FALSE),0)</f>
        <v>0</v>
      </c>
      <c r="J20" s="47">
        <f>IFERROR(VLOOKUP($B20,'RA1- Elevated Dumps Upper'!$A$11:$BN$18,MATCH(Summary!J$1,'RA1- Elevated Dumps Upper'!$A$9:$BN$9,1),FALSE),0)+IFERROR(VLOOKUP($B20,'RA2-Elevated Dumps Slopes'!$A$11:$BN$18,MATCH(Summary!J$1,'RA2-Elevated Dumps Slopes'!$A$9:$BN$9,1),FALSE),0)+IFERROR(VLOOKUP($B20,'RA3-Backfilled Pits'!$A$11:$BN$18,MATCH(Summary!J$1,'RA3-Backfilled Pits'!$A$9:$BN$9,1),FALSE),0)+IFERROR(VLOOKUP($B20,'RA4-Tracks_Roads'!$A$11:$BN$18,MATCH(Summary!J$1,'RA4-Tracks_Roads'!$A$9:$BN$9,1),FALSE),0)+IFERROR(VLOOKUP($B20,'RA5-ROM'!$A$11:$BN$18,MATCH(Summary!J$1,'RA5-ROM'!$A$9:$BN$9,1),FALSE),0)+IFERROR(VLOOKUP($B20,'RA6-CHPP'!$A$11:$BN$18,MATCH(Summary!J$1,'RA6-CHPP'!$A$9:$BN$9,1),FALSE),0)+IFERROR(VLOOKUP($B20,'RA7-Mine Infrastructure Area'!$A$11:$BN$18,MATCH(Summary!J$1,'RA7-Mine Infrastructure Area'!$A$9:$BN$9,1),FALSE),0)+IFERROR(VLOOKUP($B20,'RA8-Water Management Structures'!$A$11:$BN$18,MATCH(Summary!J$1,'RA8-Water Management Structures'!$A$9:$BN$9,1),FALSE),0)+IFERROR(VLOOKUP($B20,'RA9-Codisposal Upper'!$A$11:$BN$18,MATCH(Summary!J$1,'RA9-Codisposal Upper'!$A$9:$BN$9,1),FALSE),0)+IFERROR(VLOOKUP($B20,'RA10-Codisposal Slopes'!$A$11:$BN$18,MATCH(Summary!J$1,'RA10-Codisposal Slopes'!$A$9:$BN$9,1),FALSE),0)+IFERROR(VLOOKUP($B20,'IA1-Final Void inc Ramps'!$A$11:$BN$18,MATCH(Summary!J$1,'IA1-Final Void inc Ramps'!$A$9:$BN$9,1),FALSE),0)</f>
        <v>0</v>
      </c>
      <c r="K20" s="47">
        <f>IFERROR(VLOOKUP($B20,'RA1- Elevated Dumps Upper'!$A$11:$BN$18,MATCH(Summary!K$1,'RA1- Elevated Dumps Upper'!$A$9:$BN$9,1),FALSE),0)+IFERROR(VLOOKUP($B20,'RA2-Elevated Dumps Slopes'!$A$11:$BN$18,MATCH(Summary!K$1,'RA2-Elevated Dumps Slopes'!$A$9:$BN$9,1),FALSE),0)+IFERROR(VLOOKUP($B20,'RA3-Backfilled Pits'!$A$11:$BN$18,MATCH(Summary!K$1,'RA3-Backfilled Pits'!$A$9:$BN$9,1),FALSE),0)+IFERROR(VLOOKUP($B20,'RA4-Tracks_Roads'!$A$11:$BN$18,MATCH(Summary!K$1,'RA4-Tracks_Roads'!$A$9:$BN$9,1),FALSE),0)+IFERROR(VLOOKUP($B20,'RA5-ROM'!$A$11:$BN$18,MATCH(Summary!K$1,'RA5-ROM'!$A$9:$BN$9,1),FALSE),0)+IFERROR(VLOOKUP($B20,'RA6-CHPP'!$A$11:$BN$18,MATCH(Summary!K$1,'RA6-CHPP'!$A$9:$BN$9,1),FALSE),0)+IFERROR(VLOOKUP($B20,'RA7-Mine Infrastructure Area'!$A$11:$BN$18,MATCH(Summary!K$1,'RA7-Mine Infrastructure Area'!$A$9:$BN$9,1),FALSE),0)+IFERROR(VLOOKUP($B20,'RA8-Water Management Structures'!$A$11:$BN$18,MATCH(Summary!K$1,'RA8-Water Management Structures'!$A$9:$BN$9,1),FALSE),0)+IFERROR(VLOOKUP($B20,'RA9-Codisposal Upper'!$A$11:$BN$18,MATCH(Summary!K$1,'RA9-Codisposal Upper'!$A$9:$BN$9,1),FALSE),0)+IFERROR(VLOOKUP($B20,'RA10-Codisposal Slopes'!$A$11:$BN$18,MATCH(Summary!K$1,'RA10-Codisposal Slopes'!$A$9:$BN$9,1),FALSE),0)+IFERROR(VLOOKUP($B20,'IA1-Final Void inc Ramps'!$A$11:$BN$18,MATCH(Summary!K$1,'IA1-Final Void inc Ramps'!$A$9:$BN$9,1),FALSE),0)</f>
        <v>0</v>
      </c>
      <c r="L20" s="47">
        <f>IFERROR(VLOOKUP($B20,'RA1- Elevated Dumps Upper'!$A$11:$BN$18,MATCH(Summary!L$1,'RA1- Elevated Dumps Upper'!$A$9:$BN$9,1),FALSE),0)+IFERROR(VLOOKUP($B20,'RA2-Elevated Dumps Slopes'!$A$11:$BN$18,MATCH(Summary!L$1,'RA2-Elevated Dumps Slopes'!$A$9:$BN$9,1),FALSE),0)+IFERROR(VLOOKUP($B20,'RA3-Backfilled Pits'!$A$11:$BN$18,MATCH(Summary!L$1,'RA3-Backfilled Pits'!$A$9:$BN$9,1),FALSE),0)+IFERROR(VLOOKUP($B20,'RA4-Tracks_Roads'!$A$11:$BN$18,MATCH(Summary!L$1,'RA4-Tracks_Roads'!$A$9:$BN$9,1),FALSE),0)+IFERROR(VLOOKUP($B20,'RA5-ROM'!$A$11:$BN$18,MATCH(Summary!L$1,'RA5-ROM'!$A$9:$BN$9,1),FALSE),0)+IFERROR(VLOOKUP($B20,'RA6-CHPP'!$A$11:$BN$18,MATCH(Summary!L$1,'RA6-CHPP'!$A$9:$BN$9,1),FALSE),0)+IFERROR(VLOOKUP($B20,'RA7-Mine Infrastructure Area'!$A$11:$BN$18,MATCH(Summary!L$1,'RA7-Mine Infrastructure Area'!$A$9:$BN$9,1),FALSE),0)+IFERROR(VLOOKUP($B20,'RA8-Water Management Structures'!$A$11:$BN$18,MATCH(Summary!L$1,'RA8-Water Management Structures'!$A$9:$BN$9,1),FALSE),0)+IFERROR(VLOOKUP($B20,'RA9-Codisposal Upper'!$A$11:$BN$18,MATCH(Summary!L$1,'RA9-Codisposal Upper'!$A$9:$BN$9,1),FALSE),0)+IFERROR(VLOOKUP($B20,'RA10-Codisposal Slopes'!$A$11:$BN$18,MATCH(Summary!L$1,'RA10-Codisposal Slopes'!$A$9:$BN$9,1),FALSE),0)+IFERROR(VLOOKUP($B20,'IA1-Final Void inc Ramps'!$A$11:$BN$18,MATCH(Summary!L$1,'IA1-Final Void inc Ramps'!$A$9:$BN$9,1),FALSE),0)</f>
        <v>0</v>
      </c>
      <c r="M20" s="47">
        <f>IFERROR(VLOOKUP($B20,'RA1- Elevated Dumps Upper'!$A$11:$BN$18,MATCH(Summary!M$1,'RA1- Elevated Dumps Upper'!$A$9:$BN$9,1),FALSE),0)+IFERROR(VLOOKUP($B20,'RA2-Elevated Dumps Slopes'!$A$11:$BN$18,MATCH(Summary!M$1,'RA2-Elevated Dumps Slopes'!$A$9:$BN$9,1),FALSE),0)+IFERROR(VLOOKUP($B20,'RA3-Backfilled Pits'!$A$11:$BN$18,MATCH(Summary!M$1,'RA3-Backfilled Pits'!$A$9:$BN$9,1),FALSE),0)+IFERROR(VLOOKUP($B20,'RA4-Tracks_Roads'!$A$11:$BN$18,MATCH(Summary!M$1,'RA4-Tracks_Roads'!$A$9:$BN$9,1),FALSE),0)+IFERROR(VLOOKUP($B20,'RA5-ROM'!$A$11:$BN$18,MATCH(Summary!M$1,'RA5-ROM'!$A$9:$BN$9,1),FALSE),0)+IFERROR(VLOOKUP($B20,'RA6-CHPP'!$A$11:$BN$18,MATCH(Summary!M$1,'RA6-CHPP'!$A$9:$BN$9,1),FALSE),0)+IFERROR(VLOOKUP($B20,'RA7-Mine Infrastructure Area'!$A$11:$BN$18,MATCH(Summary!M$1,'RA7-Mine Infrastructure Area'!$A$9:$BN$9,1),FALSE),0)+IFERROR(VLOOKUP($B20,'RA8-Water Management Structures'!$A$11:$BN$18,MATCH(Summary!M$1,'RA8-Water Management Structures'!$A$9:$BN$9,1),FALSE),0)+IFERROR(VLOOKUP($B20,'RA9-Codisposal Upper'!$A$11:$BN$18,MATCH(Summary!M$1,'RA9-Codisposal Upper'!$A$9:$BN$9,1),FALSE),0)+IFERROR(VLOOKUP($B20,'RA10-Codisposal Slopes'!$A$11:$BN$18,MATCH(Summary!M$1,'RA10-Codisposal Slopes'!$A$9:$BN$9,1),FALSE),0)+IFERROR(VLOOKUP($B20,'IA1-Final Void inc Ramps'!$A$11:$BN$18,MATCH(Summary!M$1,'IA1-Final Void inc Ramps'!$A$9:$BN$9,1),FALSE),0)</f>
        <v>0</v>
      </c>
      <c r="N20" s="47">
        <f>IFERROR(VLOOKUP($B20,'RA1- Elevated Dumps Upper'!$A$11:$BN$18,MATCH(Summary!N$1,'RA1- Elevated Dumps Upper'!$A$9:$BN$9,1),FALSE),0)+IFERROR(VLOOKUP($B20,'RA2-Elevated Dumps Slopes'!$A$11:$BN$18,MATCH(Summary!N$1,'RA2-Elevated Dumps Slopes'!$A$9:$BN$9,1),FALSE),0)+IFERROR(VLOOKUP($B20,'RA3-Backfilled Pits'!$A$11:$BN$18,MATCH(Summary!N$1,'RA3-Backfilled Pits'!$A$9:$BN$9,1),FALSE),0)+IFERROR(VLOOKUP($B20,'RA4-Tracks_Roads'!$A$11:$BN$18,MATCH(Summary!N$1,'RA4-Tracks_Roads'!$A$9:$BN$9,1),FALSE),0)+IFERROR(VLOOKUP($B20,'RA5-ROM'!$A$11:$BN$18,MATCH(Summary!N$1,'RA5-ROM'!$A$9:$BN$9,1),FALSE),0)+IFERROR(VLOOKUP($B20,'RA6-CHPP'!$A$11:$BN$18,MATCH(Summary!N$1,'RA6-CHPP'!$A$9:$BN$9,1),FALSE),0)+IFERROR(VLOOKUP($B20,'RA7-Mine Infrastructure Area'!$A$11:$BN$18,MATCH(Summary!N$1,'RA7-Mine Infrastructure Area'!$A$9:$BN$9,1),FALSE),0)+IFERROR(VLOOKUP($B20,'RA8-Water Management Structures'!$A$11:$BN$18,MATCH(Summary!N$1,'RA8-Water Management Structures'!$A$9:$BN$9,1),FALSE),0)+IFERROR(VLOOKUP($B20,'RA9-Codisposal Upper'!$A$11:$BN$18,MATCH(Summary!N$1,'RA9-Codisposal Upper'!$A$9:$BN$9,1),FALSE),0)+IFERROR(VLOOKUP($B20,'RA10-Codisposal Slopes'!$A$11:$BN$18,MATCH(Summary!N$1,'RA10-Codisposal Slopes'!$A$9:$BN$9,1),FALSE),0)+IFERROR(VLOOKUP($B20,'IA1-Final Void inc Ramps'!$A$11:$BN$18,MATCH(Summary!N$1,'IA1-Final Void inc Ramps'!$A$9:$BN$9,1),FALSE),0)</f>
        <v>0</v>
      </c>
      <c r="O20" s="47">
        <f>IFERROR(VLOOKUP($B20,'RA1- Elevated Dumps Upper'!$A$11:$BN$18,MATCH(Summary!O$1,'RA1- Elevated Dumps Upper'!$A$9:$BN$9,1),FALSE),0)+IFERROR(VLOOKUP($B20,'RA2-Elevated Dumps Slopes'!$A$11:$BN$18,MATCH(Summary!O$1,'RA2-Elevated Dumps Slopes'!$A$9:$BN$9,1),FALSE),0)+IFERROR(VLOOKUP($B20,'RA3-Backfilled Pits'!$A$11:$BN$18,MATCH(Summary!O$1,'RA3-Backfilled Pits'!$A$9:$BN$9,1),FALSE),0)+IFERROR(VLOOKUP($B20,'RA4-Tracks_Roads'!$A$11:$BN$18,MATCH(Summary!O$1,'RA4-Tracks_Roads'!$A$9:$BN$9,1),FALSE),0)+IFERROR(VLOOKUP($B20,'RA5-ROM'!$A$11:$BN$18,MATCH(Summary!O$1,'RA5-ROM'!$A$9:$BN$9,1),FALSE),0)+IFERROR(VLOOKUP($B20,'RA6-CHPP'!$A$11:$BN$18,MATCH(Summary!O$1,'RA6-CHPP'!$A$9:$BN$9,1),FALSE),0)+IFERROR(VLOOKUP($B20,'RA7-Mine Infrastructure Area'!$A$11:$BN$18,MATCH(Summary!O$1,'RA7-Mine Infrastructure Area'!$A$9:$BN$9,1),FALSE),0)+IFERROR(VLOOKUP($B20,'RA8-Water Management Structures'!$A$11:$BN$18,MATCH(Summary!O$1,'RA8-Water Management Structures'!$A$9:$BN$9,1),FALSE),0)+IFERROR(VLOOKUP($B20,'RA9-Codisposal Upper'!$A$11:$BN$18,MATCH(Summary!O$1,'RA9-Codisposal Upper'!$A$9:$BN$9,1),FALSE),0)+IFERROR(VLOOKUP($B20,'RA10-Codisposal Slopes'!$A$11:$BN$18,MATCH(Summary!O$1,'RA10-Codisposal Slopes'!$A$9:$BN$9,1),FALSE),0)+IFERROR(VLOOKUP($B20,'IA1-Final Void inc Ramps'!$A$11:$BN$18,MATCH(Summary!O$1,'IA1-Final Void inc Ramps'!$A$9:$BN$9,1),FALSE),0)</f>
        <v>0</v>
      </c>
      <c r="P20" s="47">
        <f>IFERROR(VLOOKUP($B20,'RA1- Elevated Dumps Upper'!$A$11:$BN$18,MATCH(Summary!P$1,'RA1- Elevated Dumps Upper'!$A$9:$BN$9,1),FALSE),0)+IFERROR(VLOOKUP($B20,'RA2-Elevated Dumps Slopes'!$A$11:$BN$18,MATCH(Summary!P$1,'RA2-Elevated Dumps Slopes'!$A$9:$BN$9,1),FALSE),0)+IFERROR(VLOOKUP($B20,'RA3-Backfilled Pits'!$A$11:$BN$18,MATCH(Summary!P$1,'RA3-Backfilled Pits'!$A$9:$BN$9,1),FALSE),0)+IFERROR(VLOOKUP($B20,'RA4-Tracks_Roads'!$A$11:$BN$18,MATCH(Summary!P$1,'RA4-Tracks_Roads'!$A$9:$BN$9,1),FALSE),0)+IFERROR(VLOOKUP($B20,'RA5-ROM'!$A$11:$BN$18,MATCH(Summary!P$1,'RA5-ROM'!$A$9:$BN$9,1),FALSE),0)+IFERROR(VLOOKUP($B20,'RA6-CHPP'!$A$11:$BN$18,MATCH(Summary!P$1,'RA6-CHPP'!$A$9:$BN$9,1),FALSE),0)+IFERROR(VLOOKUP($B20,'RA7-Mine Infrastructure Area'!$A$11:$BN$18,MATCH(Summary!P$1,'RA7-Mine Infrastructure Area'!$A$9:$BN$9,1),FALSE),0)+IFERROR(VLOOKUP($B20,'RA8-Water Management Structures'!$A$11:$BN$18,MATCH(Summary!P$1,'RA8-Water Management Structures'!$A$9:$BN$9,1),FALSE),0)+IFERROR(VLOOKUP($B20,'RA9-Codisposal Upper'!$A$11:$BN$18,MATCH(Summary!P$1,'RA9-Codisposal Upper'!$A$9:$BN$9,1),FALSE),0)+IFERROR(VLOOKUP($B20,'RA10-Codisposal Slopes'!$A$11:$BN$18,MATCH(Summary!P$1,'RA10-Codisposal Slopes'!$A$9:$BN$9,1),FALSE),0)+IFERROR(VLOOKUP($B20,'IA1-Final Void inc Ramps'!$A$11:$BN$18,MATCH(Summary!P$1,'IA1-Final Void inc Ramps'!$A$9:$BN$9,1),FALSE),0)</f>
        <v>0</v>
      </c>
      <c r="Q20" s="47">
        <f>IFERROR(VLOOKUP($B20,'RA1- Elevated Dumps Upper'!$A$11:$BN$18,MATCH(Summary!Q$1,'RA1- Elevated Dumps Upper'!$A$9:$BN$9,1),FALSE),0)+IFERROR(VLOOKUP($B20,'RA2-Elevated Dumps Slopes'!$A$11:$BN$18,MATCH(Summary!Q$1,'RA2-Elevated Dumps Slopes'!$A$9:$BN$9,1),FALSE),0)+IFERROR(VLOOKUP($B20,'RA3-Backfilled Pits'!$A$11:$BN$18,MATCH(Summary!Q$1,'RA3-Backfilled Pits'!$A$9:$BN$9,1),FALSE),0)+IFERROR(VLOOKUP($B20,'RA4-Tracks_Roads'!$A$11:$BN$18,MATCH(Summary!Q$1,'RA4-Tracks_Roads'!$A$9:$BN$9,1),FALSE),0)+IFERROR(VLOOKUP($B20,'RA5-ROM'!$A$11:$BN$18,MATCH(Summary!Q$1,'RA5-ROM'!$A$9:$BN$9,1),FALSE),0)+IFERROR(VLOOKUP($B20,'RA6-CHPP'!$A$11:$BN$18,MATCH(Summary!Q$1,'RA6-CHPP'!$A$9:$BN$9,1),FALSE),0)+IFERROR(VLOOKUP($B20,'RA7-Mine Infrastructure Area'!$A$11:$BN$18,MATCH(Summary!Q$1,'RA7-Mine Infrastructure Area'!$A$9:$BN$9,1),FALSE),0)+IFERROR(VLOOKUP($B20,'RA8-Water Management Structures'!$A$11:$BN$18,MATCH(Summary!Q$1,'RA8-Water Management Structures'!$A$9:$BN$9,1),FALSE),0)+IFERROR(VLOOKUP($B20,'RA9-Codisposal Upper'!$A$11:$BN$18,MATCH(Summary!Q$1,'RA9-Codisposal Upper'!$A$9:$BN$9,1),FALSE),0)+IFERROR(VLOOKUP($B20,'RA10-Codisposal Slopes'!$A$11:$BN$18,MATCH(Summary!Q$1,'RA10-Codisposal Slopes'!$A$9:$BN$9,1),FALSE),0)+IFERROR(VLOOKUP($B20,'IA1-Final Void inc Ramps'!$A$11:$BN$18,MATCH(Summary!Q$1,'IA1-Final Void inc Ramps'!$A$9:$BN$9,1),FALSE),0)</f>
        <v>0</v>
      </c>
      <c r="R20" s="47">
        <f>IFERROR(VLOOKUP($B20,'RA1- Elevated Dumps Upper'!$A$11:$BN$18,MATCH(Summary!R$1,'RA1- Elevated Dumps Upper'!$A$9:$BN$9,1),FALSE),0)+IFERROR(VLOOKUP($B20,'RA2-Elevated Dumps Slopes'!$A$11:$BN$18,MATCH(Summary!R$1,'RA2-Elevated Dumps Slopes'!$A$9:$BN$9,1),FALSE),0)+IFERROR(VLOOKUP($B20,'RA3-Backfilled Pits'!$A$11:$BN$18,MATCH(Summary!R$1,'RA3-Backfilled Pits'!$A$9:$BN$9,1),FALSE),0)+IFERROR(VLOOKUP($B20,'RA4-Tracks_Roads'!$A$11:$BN$18,MATCH(Summary!R$1,'RA4-Tracks_Roads'!$A$9:$BN$9,1),FALSE),0)+IFERROR(VLOOKUP($B20,'RA5-ROM'!$A$11:$BN$18,MATCH(Summary!R$1,'RA5-ROM'!$A$9:$BN$9,1),FALSE),0)+IFERROR(VLOOKUP($B20,'RA6-CHPP'!$A$11:$BN$18,MATCH(Summary!R$1,'RA6-CHPP'!$A$9:$BN$9,1),FALSE),0)+IFERROR(VLOOKUP($B20,'RA7-Mine Infrastructure Area'!$A$11:$BN$18,MATCH(Summary!R$1,'RA7-Mine Infrastructure Area'!$A$9:$BN$9,1),FALSE),0)+IFERROR(VLOOKUP($B20,'RA8-Water Management Structures'!$A$11:$BN$18,MATCH(Summary!R$1,'RA8-Water Management Structures'!$A$9:$BN$9,1),FALSE),0)+IFERROR(VLOOKUP($B20,'RA9-Codisposal Upper'!$A$11:$BN$18,MATCH(Summary!R$1,'RA9-Codisposal Upper'!$A$9:$BN$9,1),FALSE),0)+IFERROR(VLOOKUP($B20,'RA10-Codisposal Slopes'!$A$11:$BN$18,MATCH(Summary!R$1,'RA10-Codisposal Slopes'!$A$9:$BN$9,1),FALSE),0)+IFERROR(VLOOKUP($B20,'IA1-Final Void inc Ramps'!$A$11:$BN$18,MATCH(Summary!R$1,'IA1-Final Void inc Ramps'!$A$9:$BN$9,1),FALSE),0)</f>
        <v>0</v>
      </c>
      <c r="S20" s="47">
        <f>IFERROR(VLOOKUP($B20,'RA1- Elevated Dumps Upper'!$A$11:$BN$18,MATCH(Summary!S$1,'RA1- Elevated Dumps Upper'!$A$9:$BN$9,1),FALSE),0)+IFERROR(VLOOKUP($B20,'RA2-Elevated Dumps Slopes'!$A$11:$BN$18,MATCH(Summary!S$1,'RA2-Elevated Dumps Slopes'!$A$9:$BN$9,1),FALSE),0)+IFERROR(VLOOKUP($B20,'RA3-Backfilled Pits'!$A$11:$BN$18,MATCH(Summary!S$1,'RA3-Backfilled Pits'!$A$9:$BN$9,1),FALSE),0)+IFERROR(VLOOKUP($B20,'RA4-Tracks_Roads'!$A$11:$BN$18,MATCH(Summary!S$1,'RA4-Tracks_Roads'!$A$9:$BN$9,1),FALSE),0)+IFERROR(VLOOKUP($B20,'RA5-ROM'!$A$11:$BN$18,MATCH(Summary!S$1,'RA5-ROM'!$A$9:$BN$9,1),FALSE),0)+IFERROR(VLOOKUP($B20,'RA6-CHPP'!$A$11:$BN$18,MATCH(Summary!S$1,'RA6-CHPP'!$A$9:$BN$9,1),FALSE),0)+IFERROR(VLOOKUP($B20,'RA7-Mine Infrastructure Area'!$A$11:$BN$18,MATCH(Summary!S$1,'RA7-Mine Infrastructure Area'!$A$9:$BN$9,1),FALSE),0)+IFERROR(VLOOKUP($B20,'RA8-Water Management Structures'!$A$11:$BN$18,MATCH(Summary!S$1,'RA8-Water Management Structures'!$A$9:$BN$9,1),FALSE),0)+IFERROR(VLOOKUP($B20,'RA9-Codisposal Upper'!$A$11:$BN$18,MATCH(Summary!S$1,'RA9-Codisposal Upper'!$A$9:$BN$9,1),FALSE),0)+IFERROR(VLOOKUP($B20,'RA10-Codisposal Slopes'!$A$11:$BN$18,MATCH(Summary!S$1,'RA10-Codisposal Slopes'!$A$9:$BN$9,1),FALSE),0)+IFERROR(VLOOKUP($B20,'IA1-Final Void inc Ramps'!$A$11:$BN$18,MATCH(Summary!S$1,'IA1-Final Void inc Ramps'!$A$9:$BN$9,1),FALSE),0)</f>
        <v>0</v>
      </c>
      <c r="T20" s="47">
        <f>IFERROR(VLOOKUP($B20,'RA1- Elevated Dumps Upper'!$A$11:$BN$18,MATCH(Summary!T$1,'RA1- Elevated Dumps Upper'!$A$9:$BN$9,1),FALSE),0)+IFERROR(VLOOKUP($B20,'RA2-Elevated Dumps Slopes'!$A$11:$BN$18,MATCH(Summary!T$1,'RA2-Elevated Dumps Slopes'!$A$9:$BN$9,1),FALSE),0)+IFERROR(VLOOKUP($B20,'RA3-Backfilled Pits'!$A$11:$BN$18,MATCH(Summary!T$1,'RA3-Backfilled Pits'!$A$9:$BN$9,1),FALSE),0)+IFERROR(VLOOKUP($B20,'RA4-Tracks_Roads'!$A$11:$BN$18,MATCH(Summary!T$1,'RA4-Tracks_Roads'!$A$9:$BN$9,1),FALSE),0)+IFERROR(VLOOKUP($B20,'RA5-ROM'!$A$11:$BN$18,MATCH(Summary!T$1,'RA5-ROM'!$A$9:$BN$9,1),FALSE),0)+IFERROR(VLOOKUP($B20,'RA6-CHPP'!$A$11:$BN$18,MATCH(Summary!T$1,'RA6-CHPP'!$A$9:$BN$9,1),FALSE),0)+IFERROR(VLOOKUP($B20,'RA7-Mine Infrastructure Area'!$A$11:$BN$18,MATCH(Summary!T$1,'RA7-Mine Infrastructure Area'!$A$9:$BN$9,1),FALSE),0)+IFERROR(VLOOKUP($B20,'RA8-Water Management Structures'!$A$11:$BN$18,MATCH(Summary!T$1,'RA8-Water Management Structures'!$A$9:$BN$9,1),FALSE),0)+IFERROR(VLOOKUP($B20,'RA9-Codisposal Upper'!$A$11:$BN$18,MATCH(Summary!T$1,'RA9-Codisposal Upper'!$A$9:$BN$9,1),FALSE),0)+IFERROR(VLOOKUP($B20,'RA10-Codisposal Slopes'!$A$11:$BN$18,MATCH(Summary!T$1,'RA10-Codisposal Slopes'!$A$9:$BN$9,1),FALSE),0)+IFERROR(VLOOKUP($B20,'IA1-Final Void inc Ramps'!$A$11:$BN$18,MATCH(Summary!T$1,'IA1-Final Void inc Ramps'!$A$9:$BN$9,1),FALSE),0)</f>
        <v>0</v>
      </c>
      <c r="U20" s="47">
        <f>IFERROR(VLOOKUP($B20,'RA1- Elevated Dumps Upper'!$A$11:$BN$18,MATCH(Summary!U$1,'RA1- Elevated Dumps Upper'!$A$9:$BN$9,1),FALSE),0)+IFERROR(VLOOKUP($B20,'RA2-Elevated Dumps Slopes'!$A$11:$BN$18,MATCH(Summary!U$1,'RA2-Elevated Dumps Slopes'!$A$9:$BN$9,1),FALSE),0)+IFERROR(VLOOKUP($B20,'RA3-Backfilled Pits'!$A$11:$BN$18,MATCH(Summary!U$1,'RA3-Backfilled Pits'!$A$9:$BN$9,1),FALSE),0)+IFERROR(VLOOKUP($B20,'RA4-Tracks_Roads'!$A$11:$BN$18,MATCH(Summary!U$1,'RA4-Tracks_Roads'!$A$9:$BN$9,1),FALSE),0)+IFERROR(VLOOKUP($B20,'RA5-ROM'!$A$11:$BN$18,MATCH(Summary!U$1,'RA5-ROM'!$A$9:$BN$9,1),FALSE),0)+IFERROR(VLOOKUP($B20,'RA6-CHPP'!$A$11:$BN$18,MATCH(Summary!U$1,'RA6-CHPP'!$A$9:$BN$9,1),FALSE),0)+IFERROR(VLOOKUP($B20,'RA7-Mine Infrastructure Area'!$A$11:$BN$18,MATCH(Summary!U$1,'RA7-Mine Infrastructure Area'!$A$9:$BN$9,1),FALSE),0)+IFERROR(VLOOKUP($B20,'RA8-Water Management Structures'!$A$11:$BN$18,MATCH(Summary!U$1,'RA8-Water Management Structures'!$A$9:$BN$9,1),FALSE),0)+IFERROR(VLOOKUP($B20,'RA9-Codisposal Upper'!$A$11:$BN$18,MATCH(Summary!U$1,'RA9-Codisposal Upper'!$A$9:$BN$9,1),FALSE),0)+IFERROR(VLOOKUP($B20,'RA10-Codisposal Slopes'!$A$11:$BN$18,MATCH(Summary!U$1,'RA10-Codisposal Slopes'!$A$9:$BN$9,1),FALSE),0)+IFERROR(VLOOKUP($B20,'IA1-Final Void inc Ramps'!$A$11:$BN$18,MATCH(Summary!U$1,'IA1-Final Void inc Ramps'!$A$9:$BN$9,1),FALSE),0)</f>
        <v>0</v>
      </c>
      <c r="V20" s="47">
        <f>IFERROR(VLOOKUP($B20,'RA1- Elevated Dumps Upper'!$A$11:$BN$18,MATCH(Summary!V$1,'RA1- Elevated Dumps Upper'!$A$9:$BN$9,1),FALSE),0)+IFERROR(VLOOKUP($B20,'RA2-Elevated Dumps Slopes'!$A$11:$BN$18,MATCH(Summary!V$1,'RA2-Elevated Dumps Slopes'!$A$9:$BN$9,1),FALSE),0)+IFERROR(VLOOKUP($B20,'RA3-Backfilled Pits'!$A$11:$BN$18,MATCH(Summary!V$1,'RA3-Backfilled Pits'!$A$9:$BN$9,1),FALSE),0)+IFERROR(VLOOKUP($B20,'RA4-Tracks_Roads'!$A$11:$BN$18,MATCH(Summary!V$1,'RA4-Tracks_Roads'!$A$9:$BN$9,1),FALSE),0)+IFERROR(VLOOKUP($B20,'RA5-ROM'!$A$11:$BN$18,MATCH(Summary!V$1,'RA5-ROM'!$A$9:$BN$9,1),FALSE),0)+IFERROR(VLOOKUP($B20,'RA6-CHPP'!$A$11:$BN$18,MATCH(Summary!V$1,'RA6-CHPP'!$A$9:$BN$9,1),FALSE),0)+IFERROR(VLOOKUP($B20,'RA7-Mine Infrastructure Area'!$A$11:$BN$18,MATCH(Summary!V$1,'RA7-Mine Infrastructure Area'!$A$9:$BN$9,1),FALSE),0)+IFERROR(VLOOKUP($B20,'RA8-Water Management Structures'!$A$11:$BN$18,MATCH(Summary!V$1,'RA8-Water Management Structures'!$A$9:$BN$9,1),FALSE),0)+IFERROR(VLOOKUP($B20,'RA9-Codisposal Upper'!$A$11:$BN$18,MATCH(Summary!V$1,'RA9-Codisposal Upper'!$A$9:$BN$9,1),FALSE),0)+IFERROR(VLOOKUP($B20,'RA10-Codisposal Slopes'!$A$11:$BN$18,MATCH(Summary!V$1,'RA10-Codisposal Slopes'!$A$9:$BN$9,1),FALSE),0)+IFERROR(VLOOKUP($B20,'IA1-Final Void inc Ramps'!$A$11:$BN$18,MATCH(Summary!V$1,'IA1-Final Void inc Ramps'!$A$9:$BN$9,1),FALSE),0)</f>
        <v>0</v>
      </c>
      <c r="W20" s="47">
        <f>IFERROR(VLOOKUP($B20,'RA1- Elevated Dumps Upper'!$A$11:$BN$18,MATCH(Summary!W$1,'RA1- Elevated Dumps Upper'!$A$9:$BN$9,1),FALSE),0)+IFERROR(VLOOKUP($B20,'RA2-Elevated Dumps Slopes'!$A$11:$BN$18,MATCH(Summary!W$1,'RA2-Elevated Dumps Slopes'!$A$9:$BN$9,1),FALSE),0)+IFERROR(VLOOKUP($B20,'RA3-Backfilled Pits'!$A$11:$BN$18,MATCH(Summary!W$1,'RA3-Backfilled Pits'!$A$9:$BN$9,1),FALSE),0)+IFERROR(VLOOKUP($B20,'RA4-Tracks_Roads'!$A$11:$BN$18,MATCH(Summary!W$1,'RA4-Tracks_Roads'!$A$9:$BN$9,1),FALSE),0)+IFERROR(VLOOKUP($B20,'RA5-ROM'!$A$11:$BN$18,MATCH(Summary!W$1,'RA5-ROM'!$A$9:$BN$9,1),FALSE),0)+IFERROR(VLOOKUP($B20,'RA6-CHPP'!$A$11:$BN$18,MATCH(Summary!W$1,'RA6-CHPP'!$A$9:$BN$9,1),FALSE),0)+IFERROR(VLOOKUP($B20,'RA7-Mine Infrastructure Area'!$A$11:$BN$18,MATCH(Summary!W$1,'RA7-Mine Infrastructure Area'!$A$9:$BN$9,1),FALSE),0)+IFERROR(VLOOKUP($B20,'RA8-Water Management Structures'!$A$11:$BN$18,MATCH(Summary!W$1,'RA8-Water Management Structures'!$A$9:$BN$9,1),FALSE),0)+IFERROR(VLOOKUP($B20,'RA9-Codisposal Upper'!$A$11:$BN$18,MATCH(Summary!W$1,'RA9-Codisposal Upper'!$A$9:$BN$9,1),FALSE),0)+IFERROR(VLOOKUP($B20,'RA10-Codisposal Slopes'!$A$11:$BN$18,MATCH(Summary!W$1,'RA10-Codisposal Slopes'!$A$9:$BN$9,1),FALSE),0)+IFERROR(VLOOKUP($B20,'IA1-Final Void inc Ramps'!$A$11:$BN$18,MATCH(Summary!W$1,'IA1-Final Void inc Ramps'!$A$9:$BN$9,1),FALSE),0)</f>
        <v>0</v>
      </c>
      <c r="X20" s="47">
        <f>IFERROR(VLOOKUP($B20,'RA1- Elevated Dumps Upper'!$A$11:$BN$18,MATCH(Summary!X$1,'RA1- Elevated Dumps Upper'!$A$9:$BN$9,1),FALSE),0)+IFERROR(VLOOKUP($B20,'RA2-Elevated Dumps Slopes'!$A$11:$BN$18,MATCH(Summary!X$1,'RA2-Elevated Dumps Slopes'!$A$9:$BN$9,1),FALSE),0)+IFERROR(VLOOKUP($B20,'RA3-Backfilled Pits'!$A$11:$BN$18,MATCH(Summary!X$1,'RA3-Backfilled Pits'!$A$9:$BN$9,1),FALSE),0)+IFERROR(VLOOKUP($B20,'RA4-Tracks_Roads'!$A$11:$BN$18,MATCH(Summary!X$1,'RA4-Tracks_Roads'!$A$9:$BN$9,1),FALSE),0)+IFERROR(VLOOKUP($B20,'RA5-ROM'!$A$11:$BN$18,MATCH(Summary!X$1,'RA5-ROM'!$A$9:$BN$9,1),FALSE),0)+IFERROR(VLOOKUP($B20,'RA6-CHPP'!$A$11:$BN$18,MATCH(Summary!X$1,'RA6-CHPP'!$A$9:$BN$9,1),FALSE),0)+IFERROR(VLOOKUP($B20,'RA7-Mine Infrastructure Area'!$A$11:$BN$18,MATCH(Summary!X$1,'RA7-Mine Infrastructure Area'!$A$9:$BN$9,1),FALSE),0)+IFERROR(VLOOKUP($B20,'RA8-Water Management Structures'!$A$11:$BN$18,MATCH(Summary!X$1,'RA8-Water Management Structures'!$A$9:$BN$9,1),FALSE),0)+IFERROR(VLOOKUP($B20,'RA9-Codisposal Upper'!$A$11:$BN$18,MATCH(Summary!X$1,'RA9-Codisposal Upper'!$A$9:$BN$9,1),FALSE),0)+IFERROR(VLOOKUP($B20,'RA10-Codisposal Slopes'!$A$11:$BN$18,MATCH(Summary!X$1,'RA10-Codisposal Slopes'!$A$9:$BN$9,1),FALSE),0)+IFERROR(VLOOKUP($B20,'IA1-Final Void inc Ramps'!$A$11:$BN$18,MATCH(Summary!X$1,'IA1-Final Void inc Ramps'!$A$9:$BN$9,1),FALSE),0)</f>
        <v>0</v>
      </c>
      <c r="Y20" s="47">
        <f>IFERROR(VLOOKUP($B20,'RA1- Elevated Dumps Upper'!$A$11:$BN$18,MATCH(Summary!Y$1,'RA1- Elevated Dumps Upper'!$A$9:$BN$9,1),FALSE),0)+IFERROR(VLOOKUP($B20,'RA2-Elevated Dumps Slopes'!$A$11:$BN$18,MATCH(Summary!Y$1,'RA2-Elevated Dumps Slopes'!$A$9:$BN$9,1),FALSE),0)+IFERROR(VLOOKUP($B20,'RA3-Backfilled Pits'!$A$11:$BN$18,MATCH(Summary!Y$1,'RA3-Backfilled Pits'!$A$9:$BN$9,1),FALSE),0)+IFERROR(VLOOKUP($B20,'RA4-Tracks_Roads'!$A$11:$BN$18,MATCH(Summary!Y$1,'RA4-Tracks_Roads'!$A$9:$BN$9,1),FALSE),0)+IFERROR(VLOOKUP($B20,'RA5-ROM'!$A$11:$BN$18,MATCH(Summary!Y$1,'RA5-ROM'!$A$9:$BN$9,1),FALSE),0)+IFERROR(VLOOKUP($B20,'RA6-CHPP'!$A$11:$BN$18,MATCH(Summary!Y$1,'RA6-CHPP'!$A$9:$BN$9,1),FALSE),0)+IFERROR(VLOOKUP($B20,'RA7-Mine Infrastructure Area'!$A$11:$BN$18,MATCH(Summary!Y$1,'RA7-Mine Infrastructure Area'!$A$9:$BN$9,1),FALSE),0)+IFERROR(VLOOKUP($B20,'RA8-Water Management Structures'!$A$11:$BN$18,MATCH(Summary!Y$1,'RA8-Water Management Structures'!$A$9:$BN$9,1),FALSE),0)+IFERROR(VLOOKUP($B20,'RA9-Codisposal Upper'!$A$11:$BN$18,MATCH(Summary!Y$1,'RA9-Codisposal Upper'!$A$9:$BN$9,1),FALSE),0)+IFERROR(VLOOKUP($B20,'RA10-Codisposal Slopes'!$A$11:$BN$18,MATCH(Summary!Y$1,'RA10-Codisposal Slopes'!$A$9:$BN$9,1),FALSE),0)+IFERROR(VLOOKUP($B20,'IA1-Final Void inc Ramps'!$A$11:$BN$18,MATCH(Summary!Y$1,'IA1-Final Void inc Ramps'!$A$9:$BN$9,1),FALSE),0)</f>
        <v>0</v>
      </c>
      <c r="Z20" s="47">
        <f>IFERROR(VLOOKUP($B20,'RA1- Elevated Dumps Upper'!$A$11:$BN$18,MATCH(Summary!Z$1,'RA1- Elevated Dumps Upper'!$A$9:$BN$9,1),FALSE),0)+IFERROR(VLOOKUP($B20,'RA2-Elevated Dumps Slopes'!$A$11:$BN$18,MATCH(Summary!Z$1,'RA2-Elevated Dumps Slopes'!$A$9:$BN$9,1),FALSE),0)+IFERROR(VLOOKUP($B20,'RA3-Backfilled Pits'!$A$11:$BN$18,MATCH(Summary!Z$1,'RA3-Backfilled Pits'!$A$9:$BN$9,1),FALSE),0)+IFERROR(VLOOKUP($B20,'RA4-Tracks_Roads'!$A$11:$BN$18,MATCH(Summary!Z$1,'RA4-Tracks_Roads'!$A$9:$BN$9,1),FALSE),0)+IFERROR(VLOOKUP($B20,'RA5-ROM'!$A$11:$BN$18,MATCH(Summary!Z$1,'RA5-ROM'!$A$9:$BN$9,1),FALSE),0)+IFERROR(VLOOKUP($B20,'RA6-CHPP'!$A$11:$BN$18,MATCH(Summary!Z$1,'RA6-CHPP'!$A$9:$BN$9,1),FALSE),0)+IFERROR(VLOOKUP($B20,'RA7-Mine Infrastructure Area'!$A$11:$BN$18,MATCH(Summary!Z$1,'RA7-Mine Infrastructure Area'!$A$9:$BN$9,1),FALSE),0)+IFERROR(VLOOKUP($B20,'RA8-Water Management Structures'!$A$11:$BN$18,MATCH(Summary!Z$1,'RA8-Water Management Structures'!$A$9:$BN$9,1),FALSE),0)+IFERROR(VLOOKUP($B20,'RA9-Codisposal Upper'!$A$11:$BN$18,MATCH(Summary!Z$1,'RA9-Codisposal Upper'!$A$9:$BN$9,1),FALSE),0)+IFERROR(VLOOKUP($B20,'RA10-Codisposal Slopes'!$A$11:$BN$18,MATCH(Summary!Z$1,'RA10-Codisposal Slopes'!$A$9:$BN$9,1),FALSE),0)+IFERROR(VLOOKUP($B20,'IA1-Final Void inc Ramps'!$A$11:$BN$18,MATCH(Summary!Z$1,'IA1-Final Void inc Ramps'!$A$9:$BN$9,1),FALSE),0)</f>
        <v>0</v>
      </c>
      <c r="AA20" s="47">
        <f>IFERROR(VLOOKUP($B20,'RA1- Elevated Dumps Upper'!$A$11:$BN$18,MATCH(Summary!AA$1,'RA1- Elevated Dumps Upper'!$A$9:$BN$9,1),FALSE),0)+IFERROR(VLOOKUP($B20,'RA2-Elevated Dumps Slopes'!$A$11:$BN$18,MATCH(Summary!AA$1,'RA2-Elevated Dumps Slopes'!$A$9:$BN$9,1),FALSE),0)+IFERROR(VLOOKUP($B20,'RA3-Backfilled Pits'!$A$11:$BN$18,MATCH(Summary!AA$1,'RA3-Backfilled Pits'!$A$9:$BN$9,1),FALSE),0)+IFERROR(VLOOKUP($B20,'RA4-Tracks_Roads'!$A$11:$BN$18,MATCH(Summary!AA$1,'RA4-Tracks_Roads'!$A$9:$BN$9,1),FALSE),0)+IFERROR(VLOOKUP($B20,'RA5-ROM'!$A$11:$BN$18,MATCH(Summary!AA$1,'RA5-ROM'!$A$9:$BN$9,1),FALSE),0)+IFERROR(VLOOKUP($B20,'RA6-CHPP'!$A$11:$BN$18,MATCH(Summary!AA$1,'RA6-CHPP'!$A$9:$BN$9,1),FALSE),0)+IFERROR(VLOOKUP($B20,'RA7-Mine Infrastructure Area'!$A$11:$BN$18,MATCH(Summary!AA$1,'RA7-Mine Infrastructure Area'!$A$9:$BN$9,1),FALSE),0)+IFERROR(VLOOKUP($B20,'RA8-Water Management Structures'!$A$11:$BN$18,MATCH(Summary!AA$1,'RA8-Water Management Structures'!$A$9:$BN$9,1),FALSE),0)+IFERROR(VLOOKUP($B20,'RA9-Codisposal Upper'!$A$11:$BN$18,MATCH(Summary!AA$1,'RA9-Codisposal Upper'!$A$9:$BN$9,1),FALSE),0)+IFERROR(VLOOKUP($B20,'RA10-Codisposal Slopes'!$A$11:$BN$18,MATCH(Summary!AA$1,'RA10-Codisposal Slopes'!$A$9:$BN$9,1),FALSE),0)+IFERROR(VLOOKUP($B20,'IA1-Final Void inc Ramps'!$A$11:$BN$18,MATCH(Summary!AA$1,'IA1-Final Void inc Ramps'!$A$9:$BN$9,1),FALSE),0)</f>
        <v>0</v>
      </c>
      <c r="AB20" s="47">
        <f>IFERROR(VLOOKUP($B20,'RA1- Elevated Dumps Upper'!$A$11:$BN$18,MATCH(Summary!AB$1,'RA1- Elevated Dumps Upper'!$A$9:$BN$9,1),FALSE),0)+IFERROR(VLOOKUP($B20,'RA2-Elevated Dumps Slopes'!$A$11:$BN$18,MATCH(Summary!AB$1,'RA2-Elevated Dumps Slopes'!$A$9:$BN$9,1),FALSE),0)+IFERROR(VLOOKUP($B20,'RA3-Backfilled Pits'!$A$11:$BN$18,MATCH(Summary!AB$1,'RA3-Backfilled Pits'!$A$9:$BN$9,1),FALSE),0)+IFERROR(VLOOKUP($B20,'RA4-Tracks_Roads'!$A$11:$BN$18,MATCH(Summary!AB$1,'RA4-Tracks_Roads'!$A$9:$BN$9,1),FALSE),0)+IFERROR(VLOOKUP($B20,'RA5-ROM'!$A$11:$BN$18,MATCH(Summary!AB$1,'RA5-ROM'!$A$9:$BN$9,1),FALSE),0)+IFERROR(VLOOKUP($B20,'RA6-CHPP'!$A$11:$BN$18,MATCH(Summary!AB$1,'RA6-CHPP'!$A$9:$BN$9,1),FALSE),0)+IFERROR(VLOOKUP($B20,'RA7-Mine Infrastructure Area'!$A$11:$BN$18,MATCH(Summary!AB$1,'RA7-Mine Infrastructure Area'!$A$9:$BN$9,1),FALSE),0)+IFERROR(VLOOKUP($B20,'RA8-Water Management Structures'!$A$11:$BN$18,MATCH(Summary!AB$1,'RA8-Water Management Structures'!$A$9:$BN$9,1),FALSE),0)+IFERROR(VLOOKUP($B20,'RA9-Codisposal Upper'!$A$11:$BN$18,MATCH(Summary!AB$1,'RA9-Codisposal Upper'!$A$9:$BN$9,1),FALSE),0)+IFERROR(VLOOKUP($B20,'RA10-Codisposal Slopes'!$A$11:$BN$18,MATCH(Summary!AB$1,'RA10-Codisposal Slopes'!$A$9:$BN$9,1),FALSE),0)+IFERROR(VLOOKUP($B20,'IA1-Final Void inc Ramps'!$A$11:$BN$18,MATCH(Summary!AB$1,'IA1-Final Void inc Ramps'!$A$9:$BN$9,1),FALSE),0)</f>
        <v>0</v>
      </c>
      <c r="AC20" s="47">
        <f>IFERROR(VLOOKUP($B20,'RA1- Elevated Dumps Upper'!$A$11:$BN$18,MATCH(Summary!AC$1,'RA1- Elevated Dumps Upper'!$A$9:$BN$9,1),FALSE),0)+IFERROR(VLOOKUP($B20,'RA2-Elevated Dumps Slopes'!$A$11:$BN$18,MATCH(Summary!AC$1,'RA2-Elevated Dumps Slopes'!$A$9:$BN$9,1),FALSE),0)+IFERROR(VLOOKUP($B20,'RA3-Backfilled Pits'!$A$11:$BN$18,MATCH(Summary!AC$1,'RA3-Backfilled Pits'!$A$9:$BN$9,1),FALSE),0)+IFERROR(VLOOKUP($B20,'RA4-Tracks_Roads'!$A$11:$BN$18,MATCH(Summary!AC$1,'RA4-Tracks_Roads'!$A$9:$BN$9,1),FALSE),0)+IFERROR(VLOOKUP($B20,'RA5-ROM'!$A$11:$BN$18,MATCH(Summary!AC$1,'RA5-ROM'!$A$9:$BN$9,1),FALSE),0)+IFERROR(VLOOKUP($B20,'RA6-CHPP'!$A$11:$BN$18,MATCH(Summary!AC$1,'RA6-CHPP'!$A$9:$BN$9,1),FALSE),0)+IFERROR(VLOOKUP($B20,'RA7-Mine Infrastructure Area'!$A$11:$BN$18,MATCH(Summary!AC$1,'RA7-Mine Infrastructure Area'!$A$9:$BN$9,1),FALSE),0)+IFERROR(VLOOKUP($B20,'RA8-Water Management Structures'!$A$11:$BN$18,MATCH(Summary!AC$1,'RA8-Water Management Structures'!$A$9:$BN$9,1),FALSE),0)+IFERROR(VLOOKUP($B20,'RA9-Codisposal Upper'!$A$11:$BN$18,MATCH(Summary!AC$1,'RA9-Codisposal Upper'!$A$9:$BN$9,1),FALSE),0)+IFERROR(VLOOKUP($B20,'RA10-Codisposal Slopes'!$A$11:$BN$18,MATCH(Summary!AC$1,'RA10-Codisposal Slopes'!$A$9:$BN$9,1),FALSE),0)+IFERROR(VLOOKUP($B20,'IA1-Final Void inc Ramps'!$A$11:$BN$18,MATCH(Summary!AC$1,'IA1-Final Void inc Ramps'!$A$9:$BN$9,1),FALSE),0)</f>
        <v>0</v>
      </c>
      <c r="AD20" s="47">
        <f>IFERROR(VLOOKUP($B20,'RA1- Elevated Dumps Upper'!$A$11:$BN$18,MATCH(Summary!AD$1,'RA1- Elevated Dumps Upper'!$A$9:$BN$9,1),FALSE),0)+IFERROR(VLOOKUP($B20,'RA2-Elevated Dumps Slopes'!$A$11:$BN$18,MATCH(Summary!AD$1,'RA2-Elevated Dumps Slopes'!$A$9:$BN$9,1),FALSE),0)+IFERROR(VLOOKUP($B20,'RA3-Backfilled Pits'!$A$11:$BN$18,MATCH(Summary!AD$1,'RA3-Backfilled Pits'!$A$9:$BN$9,1),FALSE),0)+IFERROR(VLOOKUP($B20,'RA4-Tracks_Roads'!$A$11:$BN$18,MATCH(Summary!AD$1,'RA4-Tracks_Roads'!$A$9:$BN$9,1),FALSE),0)+IFERROR(VLOOKUP($B20,'RA5-ROM'!$A$11:$BN$18,MATCH(Summary!AD$1,'RA5-ROM'!$A$9:$BN$9,1),FALSE),0)+IFERROR(VLOOKUP($B20,'RA6-CHPP'!$A$11:$BN$18,MATCH(Summary!AD$1,'RA6-CHPP'!$A$9:$BN$9,1),FALSE),0)+IFERROR(VLOOKUP($B20,'RA7-Mine Infrastructure Area'!$A$11:$BN$18,MATCH(Summary!AD$1,'RA7-Mine Infrastructure Area'!$A$9:$BN$9,1),FALSE),0)+IFERROR(VLOOKUP($B20,'RA8-Water Management Structures'!$A$11:$BN$18,MATCH(Summary!AD$1,'RA8-Water Management Structures'!$A$9:$BN$9,1),FALSE),0)+IFERROR(VLOOKUP($B20,'RA9-Codisposal Upper'!$A$11:$BN$18,MATCH(Summary!AD$1,'RA9-Codisposal Upper'!$A$9:$BN$9,1),FALSE),0)+IFERROR(VLOOKUP($B20,'RA10-Codisposal Slopes'!$A$11:$BN$18,MATCH(Summary!AD$1,'RA10-Codisposal Slopes'!$A$9:$BN$9,1),FALSE),0)+IFERROR(VLOOKUP($B20,'IA1-Final Void inc Ramps'!$A$11:$BN$18,MATCH(Summary!AD$1,'IA1-Final Void inc Ramps'!$A$9:$BN$9,1),FALSE),0)</f>
        <v>0</v>
      </c>
      <c r="AE20" s="47">
        <f>IFERROR(VLOOKUP($B20,'RA1- Elevated Dumps Upper'!$A$11:$BN$18,MATCH(Summary!AE$1,'RA1- Elevated Dumps Upper'!$A$9:$BN$9,1),FALSE),0)+IFERROR(VLOOKUP($B20,'RA2-Elevated Dumps Slopes'!$A$11:$BN$18,MATCH(Summary!AE$1,'RA2-Elevated Dumps Slopes'!$A$9:$BN$9,1),FALSE),0)+IFERROR(VLOOKUP($B20,'RA3-Backfilled Pits'!$A$11:$BN$18,MATCH(Summary!AE$1,'RA3-Backfilled Pits'!$A$9:$BN$9,1),FALSE),0)+IFERROR(VLOOKUP($B20,'RA4-Tracks_Roads'!$A$11:$BN$18,MATCH(Summary!AE$1,'RA4-Tracks_Roads'!$A$9:$BN$9,1),FALSE),0)+IFERROR(VLOOKUP($B20,'RA5-ROM'!$A$11:$BN$18,MATCH(Summary!AE$1,'RA5-ROM'!$A$9:$BN$9,1),FALSE),0)+IFERROR(VLOOKUP($B20,'RA6-CHPP'!$A$11:$BN$18,MATCH(Summary!AE$1,'RA6-CHPP'!$A$9:$BN$9,1),FALSE),0)+IFERROR(VLOOKUP($B20,'RA7-Mine Infrastructure Area'!$A$11:$BN$18,MATCH(Summary!AE$1,'RA7-Mine Infrastructure Area'!$A$9:$BN$9,1),FALSE),0)+IFERROR(VLOOKUP($B20,'RA8-Water Management Structures'!$A$11:$BN$18,MATCH(Summary!AE$1,'RA8-Water Management Structures'!$A$9:$BN$9,1),FALSE),0)+IFERROR(VLOOKUP($B20,'RA9-Codisposal Upper'!$A$11:$BN$18,MATCH(Summary!AE$1,'RA9-Codisposal Upper'!$A$9:$BN$9,1),FALSE),0)+IFERROR(VLOOKUP($B20,'RA10-Codisposal Slopes'!$A$11:$BN$18,MATCH(Summary!AE$1,'RA10-Codisposal Slopes'!$A$9:$BN$9,1),FALSE),0)+IFERROR(VLOOKUP($B20,'IA1-Final Void inc Ramps'!$A$11:$BN$18,MATCH(Summary!AE$1,'IA1-Final Void inc Ramps'!$A$9:$BN$9,1),FALSE),0)</f>
        <v>0</v>
      </c>
      <c r="AF20" s="47">
        <f>IFERROR(VLOOKUP($B20,'RA1- Elevated Dumps Upper'!$A$11:$BN$18,MATCH(Summary!AF$1,'RA1- Elevated Dumps Upper'!$A$9:$BN$9,1),FALSE),0)+IFERROR(VLOOKUP($B20,'RA2-Elevated Dumps Slopes'!$A$11:$BN$18,MATCH(Summary!AF$1,'RA2-Elevated Dumps Slopes'!$A$9:$BN$9,1),FALSE),0)+IFERROR(VLOOKUP($B20,'RA3-Backfilled Pits'!$A$11:$BN$18,MATCH(Summary!AF$1,'RA3-Backfilled Pits'!$A$9:$BN$9,1),FALSE),0)+IFERROR(VLOOKUP($B20,'RA4-Tracks_Roads'!$A$11:$BN$18,MATCH(Summary!AF$1,'RA4-Tracks_Roads'!$A$9:$BN$9,1),FALSE),0)+IFERROR(VLOOKUP($B20,'RA5-ROM'!$A$11:$BN$18,MATCH(Summary!AF$1,'RA5-ROM'!$A$9:$BN$9,1),FALSE),0)+IFERROR(VLOOKUP($B20,'RA6-CHPP'!$A$11:$BN$18,MATCH(Summary!AF$1,'RA6-CHPP'!$A$9:$BN$9,1),FALSE),0)+IFERROR(VLOOKUP($B20,'RA7-Mine Infrastructure Area'!$A$11:$BN$18,MATCH(Summary!AF$1,'RA7-Mine Infrastructure Area'!$A$9:$BN$9,1),FALSE),0)+IFERROR(VLOOKUP($B20,'RA8-Water Management Structures'!$A$11:$BN$18,MATCH(Summary!AF$1,'RA8-Water Management Structures'!$A$9:$BN$9,1),FALSE),0)+IFERROR(VLOOKUP($B20,'RA9-Codisposal Upper'!$A$11:$BN$18,MATCH(Summary!AF$1,'RA9-Codisposal Upper'!$A$9:$BN$9,1),FALSE),0)+IFERROR(VLOOKUP($B20,'RA10-Codisposal Slopes'!$A$11:$BN$18,MATCH(Summary!AF$1,'RA10-Codisposal Slopes'!$A$9:$BN$9,1),FALSE),0)+IFERROR(VLOOKUP($B20,'IA1-Final Void inc Ramps'!$A$11:$BN$18,MATCH(Summary!AF$1,'IA1-Final Void inc Ramps'!$A$9:$BN$9,1),FALSE),0)</f>
        <v>0</v>
      </c>
      <c r="AG20" s="47">
        <f>IFERROR(VLOOKUP($B20,'RA1- Elevated Dumps Upper'!$A$11:$BN$18,MATCH(Summary!AG$1,'RA1- Elevated Dumps Upper'!$A$9:$BN$9,1),FALSE),0)+IFERROR(VLOOKUP($B20,'RA2-Elevated Dumps Slopes'!$A$11:$BN$18,MATCH(Summary!AG$1,'RA2-Elevated Dumps Slopes'!$A$9:$BN$9,1),FALSE),0)+IFERROR(VLOOKUP($B20,'RA3-Backfilled Pits'!$A$11:$BN$18,MATCH(Summary!AG$1,'RA3-Backfilled Pits'!$A$9:$BN$9,1),FALSE),0)+IFERROR(VLOOKUP($B20,'RA4-Tracks_Roads'!$A$11:$BN$18,MATCH(Summary!AG$1,'RA4-Tracks_Roads'!$A$9:$BN$9,1),FALSE),0)+IFERROR(VLOOKUP($B20,'RA5-ROM'!$A$11:$BN$18,MATCH(Summary!AG$1,'RA5-ROM'!$A$9:$BN$9,1),FALSE),0)+IFERROR(VLOOKUP($B20,'RA6-CHPP'!$A$11:$BN$18,MATCH(Summary!AG$1,'RA6-CHPP'!$A$9:$BN$9,1),FALSE),0)+IFERROR(VLOOKUP($B20,'RA7-Mine Infrastructure Area'!$A$11:$BN$18,MATCH(Summary!AG$1,'RA7-Mine Infrastructure Area'!$A$9:$BN$9,1),FALSE),0)+IFERROR(VLOOKUP($B20,'RA8-Water Management Structures'!$A$11:$BN$18,MATCH(Summary!AG$1,'RA8-Water Management Structures'!$A$9:$BN$9,1),FALSE),0)+IFERROR(VLOOKUP($B20,'RA9-Codisposal Upper'!$A$11:$BN$18,MATCH(Summary!AG$1,'RA9-Codisposal Upper'!$A$9:$BN$9,1),FALSE),0)+IFERROR(VLOOKUP($B20,'RA10-Codisposal Slopes'!$A$11:$BN$18,MATCH(Summary!AG$1,'RA10-Codisposal Slopes'!$A$9:$BN$9,1),FALSE),0)+IFERROR(VLOOKUP($B20,'IA1-Final Void inc Ramps'!$A$11:$BN$18,MATCH(Summary!AG$1,'IA1-Final Void inc Ramps'!$A$9:$BN$9,1),FALSE),0)</f>
        <v>0</v>
      </c>
      <c r="AH20" s="47">
        <f>IFERROR(VLOOKUP($B20,'RA1- Elevated Dumps Upper'!$A$11:$BN$18,MATCH(Summary!AH$1,'RA1- Elevated Dumps Upper'!$A$9:$BN$9,1),FALSE),0)+IFERROR(VLOOKUP($B20,'RA2-Elevated Dumps Slopes'!$A$11:$BN$18,MATCH(Summary!AH$1,'RA2-Elevated Dumps Slopes'!$A$9:$BN$9,1),FALSE),0)+IFERROR(VLOOKUP($B20,'RA3-Backfilled Pits'!$A$11:$BN$18,MATCH(Summary!AH$1,'RA3-Backfilled Pits'!$A$9:$BN$9,1),FALSE),0)+IFERROR(VLOOKUP($B20,'RA4-Tracks_Roads'!$A$11:$BN$18,MATCH(Summary!AH$1,'RA4-Tracks_Roads'!$A$9:$BN$9,1),FALSE),0)+IFERROR(VLOOKUP($B20,'RA5-ROM'!$A$11:$BN$18,MATCH(Summary!AH$1,'RA5-ROM'!$A$9:$BN$9,1),FALSE),0)+IFERROR(VLOOKUP($B20,'RA6-CHPP'!$A$11:$BN$18,MATCH(Summary!AH$1,'RA6-CHPP'!$A$9:$BN$9,1),FALSE),0)+IFERROR(VLOOKUP($B20,'RA7-Mine Infrastructure Area'!$A$11:$BN$18,MATCH(Summary!AH$1,'RA7-Mine Infrastructure Area'!$A$9:$BN$9,1),FALSE),0)+IFERROR(VLOOKUP($B20,'RA8-Water Management Structures'!$A$11:$BN$18,MATCH(Summary!AH$1,'RA8-Water Management Structures'!$A$9:$BN$9,1),FALSE),0)+IFERROR(VLOOKUP($B20,'RA9-Codisposal Upper'!$A$11:$BN$18,MATCH(Summary!AH$1,'RA9-Codisposal Upper'!$A$9:$BN$9,1),FALSE),0)+IFERROR(VLOOKUP($B20,'RA10-Codisposal Slopes'!$A$11:$BN$18,MATCH(Summary!AH$1,'RA10-Codisposal Slopes'!$A$9:$BN$9,1),FALSE),0)+IFERROR(VLOOKUP($B20,'IA1-Final Void inc Ramps'!$A$11:$BN$18,MATCH(Summary!AH$1,'IA1-Final Void inc Ramps'!$A$9:$BN$9,1),FALSE),0)</f>
        <v>40</v>
      </c>
      <c r="AI20" s="47">
        <f>IFERROR(VLOOKUP($B20,'RA1- Elevated Dumps Upper'!$A$11:$BN$18,MATCH(Summary!AI$1,'RA1- Elevated Dumps Upper'!$A$9:$BN$9,1),FALSE),0)+IFERROR(VLOOKUP($B20,'RA2-Elevated Dumps Slopes'!$A$11:$BN$18,MATCH(Summary!AI$1,'RA2-Elevated Dumps Slopes'!$A$9:$BN$9,1),FALSE),0)+IFERROR(VLOOKUP($B20,'RA3-Backfilled Pits'!$A$11:$BN$18,MATCH(Summary!AI$1,'RA3-Backfilled Pits'!$A$9:$BN$9,1),FALSE),0)+IFERROR(VLOOKUP($B20,'RA4-Tracks_Roads'!$A$11:$BN$18,MATCH(Summary!AI$1,'RA4-Tracks_Roads'!$A$9:$BN$9,1),FALSE),0)+IFERROR(VLOOKUP($B20,'RA5-ROM'!$A$11:$BN$18,MATCH(Summary!AI$1,'RA5-ROM'!$A$9:$BN$9,1),FALSE),0)+IFERROR(VLOOKUP($B20,'RA6-CHPP'!$A$11:$BN$18,MATCH(Summary!AI$1,'RA6-CHPP'!$A$9:$BN$9,1),FALSE),0)+IFERROR(VLOOKUP($B20,'RA7-Mine Infrastructure Area'!$A$11:$BN$18,MATCH(Summary!AI$1,'RA7-Mine Infrastructure Area'!$A$9:$BN$9,1),FALSE),0)+IFERROR(VLOOKUP($B20,'RA8-Water Management Structures'!$A$11:$BN$18,MATCH(Summary!AI$1,'RA8-Water Management Structures'!$A$9:$BN$9,1),FALSE),0)+IFERROR(VLOOKUP($B20,'RA9-Codisposal Upper'!$A$11:$BN$18,MATCH(Summary!AI$1,'RA9-Codisposal Upper'!$A$9:$BN$9,1),FALSE),0)+IFERROR(VLOOKUP($B20,'RA10-Codisposal Slopes'!$A$11:$BN$18,MATCH(Summary!AI$1,'RA10-Codisposal Slopes'!$A$9:$BN$9,1),FALSE),0)+IFERROR(VLOOKUP($B20,'IA1-Final Void inc Ramps'!$A$11:$BN$18,MATCH(Summary!AI$1,'IA1-Final Void inc Ramps'!$A$9:$BN$9,1),FALSE),0)</f>
        <v>40</v>
      </c>
      <c r="AJ20" s="47">
        <f>IFERROR(VLOOKUP($B20,'RA1- Elevated Dumps Upper'!$A$11:$BN$18,MATCH(Summary!AJ$1,'RA1- Elevated Dumps Upper'!$A$9:$BN$9,1),FALSE),0)+IFERROR(VLOOKUP($B20,'RA2-Elevated Dumps Slopes'!$A$11:$BN$18,MATCH(Summary!AJ$1,'RA2-Elevated Dumps Slopes'!$A$9:$BN$9,1),FALSE),0)+IFERROR(VLOOKUP($B20,'RA3-Backfilled Pits'!$A$11:$BN$18,MATCH(Summary!AJ$1,'RA3-Backfilled Pits'!$A$9:$BN$9,1),FALSE),0)+IFERROR(VLOOKUP($B20,'RA4-Tracks_Roads'!$A$11:$BN$18,MATCH(Summary!AJ$1,'RA4-Tracks_Roads'!$A$9:$BN$9,1),FALSE),0)+IFERROR(VLOOKUP($B20,'RA5-ROM'!$A$11:$BN$18,MATCH(Summary!AJ$1,'RA5-ROM'!$A$9:$BN$9,1),FALSE),0)+IFERROR(VLOOKUP($B20,'RA6-CHPP'!$A$11:$BN$18,MATCH(Summary!AJ$1,'RA6-CHPP'!$A$9:$BN$9,1),FALSE),0)+IFERROR(VLOOKUP($B20,'RA7-Mine Infrastructure Area'!$A$11:$BN$18,MATCH(Summary!AJ$1,'RA7-Mine Infrastructure Area'!$A$9:$BN$9,1),FALSE),0)+IFERROR(VLOOKUP($B20,'RA8-Water Management Structures'!$A$11:$BN$18,MATCH(Summary!AJ$1,'RA8-Water Management Structures'!$A$9:$BN$9,1),FALSE),0)+IFERROR(VLOOKUP($B20,'RA9-Codisposal Upper'!$A$11:$BN$18,MATCH(Summary!AJ$1,'RA9-Codisposal Upper'!$A$9:$BN$9,1),FALSE),0)+IFERROR(VLOOKUP($B20,'RA10-Codisposal Slopes'!$A$11:$BN$18,MATCH(Summary!AJ$1,'RA10-Codisposal Slopes'!$A$9:$BN$9,1),FALSE),0)+IFERROR(VLOOKUP($B20,'IA1-Final Void inc Ramps'!$A$11:$BN$18,MATCH(Summary!AJ$1,'IA1-Final Void inc Ramps'!$A$9:$BN$9,1),FALSE),0)</f>
        <v>40</v>
      </c>
      <c r="AK20" s="47">
        <f>IFERROR(VLOOKUP($B20,'RA1- Elevated Dumps Upper'!$A$11:$BN$18,MATCH(Summary!AK$1,'RA1- Elevated Dumps Upper'!$A$9:$BN$9,1),FALSE),0)+IFERROR(VLOOKUP($B20,'RA2-Elevated Dumps Slopes'!$A$11:$BN$18,MATCH(Summary!AK$1,'RA2-Elevated Dumps Slopes'!$A$9:$BN$9,1),FALSE),0)+IFERROR(VLOOKUP($B20,'RA3-Backfilled Pits'!$A$11:$BN$18,MATCH(Summary!AK$1,'RA3-Backfilled Pits'!$A$9:$BN$9,1),FALSE),0)+IFERROR(VLOOKUP($B20,'RA4-Tracks_Roads'!$A$11:$BN$18,MATCH(Summary!AK$1,'RA4-Tracks_Roads'!$A$9:$BN$9,1),FALSE),0)+IFERROR(VLOOKUP($B20,'RA5-ROM'!$A$11:$BN$18,MATCH(Summary!AK$1,'RA5-ROM'!$A$9:$BN$9,1),FALSE),0)+IFERROR(VLOOKUP($B20,'RA6-CHPP'!$A$11:$BN$18,MATCH(Summary!AK$1,'RA6-CHPP'!$A$9:$BN$9,1),FALSE),0)+IFERROR(VLOOKUP($B20,'RA7-Mine Infrastructure Area'!$A$11:$BN$18,MATCH(Summary!AK$1,'RA7-Mine Infrastructure Area'!$A$9:$BN$9,1),FALSE),0)+IFERROR(VLOOKUP($B20,'RA8-Water Management Structures'!$A$11:$BN$18,MATCH(Summary!AK$1,'RA8-Water Management Structures'!$A$9:$BN$9,1),FALSE),0)+IFERROR(VLOOKUP($B20,'RA9-Codisposal Upper'!$A$11:$BN$18,MATCH(Summary!AK$1,'RA9-Codisposal Upper'!$A$9:$BN$9,1),FALSE),0)+IFERROR(VLOOKUP($B20,'RA10-Codisposal Slopes'!$A$11:$BN$18,MATCH(Summary!AK$1,'RA10-Codisposal Slopes'!$A$9:$BN$9,1),FALSE),0)+IFERROR(VLOOKUP($B20,'IA1-Final Void inc Ramps'!$A$11:$BN$18,MATCH(Summary!AK$1,'IA1-Final Void inc Ramps'!$A$9:$BN$9,1),FALSE),0)</f>
        <v>40</v>
      </c>
      <c r="AL20" s="47">
        <f>IFERROR(VLOOKUP($B20,'RA1- Elevated Dumps Upper'!$A$11:$BN$18,MATCH(Summary!AL$1,'RA1- Elevated Dumps Upper'!$A$9:$BN$9,1),FALSE),0)+IFERROR(VLOOKUP($B20,'RA2-Elevated Dumps Slopes'!$A$11:$BN$18,MATCH(Summary!AL$1,'RA2-Elevated Dumps Slopes'!$A$9:$BN$9,1),FALSE),0)+IFERROR(VLOOKUP($B20,'RA3-Backfilled Pits'!$A$11:$BN$18,MATCH(Summary!AL$1,'RA3-Backfilled Pits'!$A$9:$BN$9,1),FALSE),0)+IFERROR(VLOOKUP($B20,'RA4-Tracks_Roads'!$A$11:$BN$18,MATCH(Summary!AL$1,'RA4-Tracks_Roads'!$A$9:$BN$9,1),FALSE),0)+IFERROR(VLOOKUP($B20,'RA5-ROM'!$A$11:$BN$18,MATCH(Summary!AL$1,'RA5-ROM'!$A$9:$BN$9,1),FALSE),0)+IFERROR(VLOOKUP($B20,'RA6-CHPP'!$A$11:$BN$18,MATCH(Summary!AL$1,'RA6-CHPP'!$A$9:$BN$9,1),FALSE),0)+IFERROR(VLOOKUP($B20,'RA7-Mine Infrastructure Area'!$A$11:$BN$18,MATCH(Summary!AL$1,'RA7-Mine Infrastructure Area'!$A$9:$BN$9,1),FALSE),0)+IFERROR(VLOOKUP($B20,'RA8-Water Management Structures'!$A$11:$BN$18,MATCH(Summary!AL$1,'RA8-Water Management Structures'!$A$9:$BN$9,1),FALSE),0)+IFERROR(VLOOKUP($B20,'RA9-Codisposal Upper'!$A$11:$BN$18,MATCH(Summary!AL$1,'RA9-Codisposal Upper'!$A$9:$BN$9,1),FALSE),0)+IFERROR(VLOOKUP($B20,'RA10-Codisposal Slopes'!$A$11:$BN$18,MATCH(Summary!AL$1,'RA10-Codisposal Slopes'!$A$9:$BN$9,1),FALSE),0)+IFERROR(VLOOKUP($B20,'IA1-Final Void inc Ramps'!$A$11:$BN$18,MATCH(Summary!AL$1,'IA1-Final Void inc Ramps'!$A$9:$BN$9,1),FALSE),0)</f>
        <v>40</v>
      </c>
      <c r="AM20" s="47">
        <f>IFERROR(VLOOKUP($B20,'RA1- Elevated Dumps Upper'!$A$11:$BN$18,MATCH(Summary!AM$1,'RA1- Elevated Dumps Upper'!$A$9:$BN$9,1),FALSE),0)+IFERROR(VLOOKUP($B20,'RA2-Elevated Dumps Slopes'!$A$11:$BN$18,MATCH(Summary!AM$1,'RA2-Elevated Dumps Slopes'!$A$9:$BN$9,1),FALSE),0)+IFERROR(VLOOKUP($B20,'RA3-Backfilled Pits'!$A$11:$BN$18,MATCH(Summary!AM$1,'RA3-Backfilled Pits'!$A$9:$BN$9,1),FALSE),0)+IFERROR(VLOOKUP($B20,'RA4-Tracks_Roads'!$A$11:$BN$18,MATCH(Summary!AM$1,'RA4-Tracks_Roads'!$A$9:$BN$9,1),FALSE),0)+IFERROR(VLOOKUP($B20,'RA5-ROM'!$A$11:$BN$18,MATCH(Summary!AM$1,'RA5-ROM'!$A$9:$BN$9,1),FALSE),0)+IFERROR(VLOOKUP($B20,'RA6-CHPP'!$A$11:$BN$18,MATCH(Summary!AM$1,'RA6-CHPP'!$A$9:$BN$9,1),FALSE),0)+IFERROR(VLOOKUP($B20,'RA7-Mine Infrastructure Area'!$A$11:$BN$18,MATCH(Summary!AM$1,'RA7-Mine Infrastructure Area'!$A$9:$BN$9,1),FALSE),0)+IFERROR(VLOOKUP($B20,'RA8-Water Management Structures'!$A$11:$BN$18,MATCH(Summary!AM$1,'RA8-Water Management Structures'!$A$9:$BN$9,1),FALSE),0)+IFERROR(VLOOKUP($B20,'RA9-Codisposal Upper'!$A$11:$BN$18,MATCH(Summary!AM$1,'RA9-Codisposal Upper'!$A$9:$BN$9,1),FALSE),0)+IFERROR(VLOOKUP($B20,'RA10-Codisposal Slopes'!$A$11:$BN$18,MATCH(Summary!AM$1,'RA10-Codisposal Slopes'!$A$9:$BN$9,1),FALSE),0)+IFERROR(VLOOKUP($B20,'IA1-Final Void inc Ramps'!$A$11:$BN$18,MATCH(Summary!AM$1,'IA1-Final Void inc Ramps'!$A$9:$BN$9,1),FALSE),0)</f>
        <v>182</v>
      </c>
      <c r="AN20" s="47">
        <f>IFERROR(VLOOKUP($B20,'RA1- Elevated Dumps Upper'!$A$11:$BN$18,MATCH(Summary!AN$1,'RA1- Elevated Dumps Upper'!$A$9:$BN$9,1),FALSE),0)+IFERROR(VLOOKUP($B20,'RA2-Elevated Dumps Slopes'!$A$11:$BN$18,MATCH(Summary!AN$1,'RA2-Elevated Dumps Slopes'!$A$9:$BN$9,1),FALSE),0)+IFERROR(VLOOKUP($B20,'RA3-Backfilled Pits'!$A$11:$BN$18,MATCH(Summary!AN$1,'RA3-Backfilled Pits'!$A$9:$BN$9,1),FALSE),0)+IFERROR(VLOOKUP($B20,'RA4-Tracks_Roads'!$A$11:$BN$18,MATCH(Summary!AN$1,'RA4-Tracks_Roads'!$A$9:$BN$9,1),FALSE),0)+IFERROR(VLOOKUP($B20,'RA5-ROM'!$A$11:$BN$18,MATCH(Summary!AN$1,'RA5-ROM'!$A$9:$BN$9,1),FALSE),0)+IFERROR(VLOOKUP($B20,'RA6-CHPP'!$A$11:$BN$18,MATCH(Summary!AN$1,'RA6-CHPP'!$A$9:$BN$9,1),FALSE),0)+IFERROR(VLOOKUP($B20,'RA7-Mine Infrastructure Area'!$A$11:$BN$18,MATCH(Summary!AN$1,'RA7-Mine Infrastructure Area'!$A$9:$BN$9,1),FALSE),0)+IFERROR(VLOOKUP($B20,'RA8-Water Management Structures'!$A$11:$BN$18,MATCH(Summary!AN$1,'RA8-Water Management Structures'!$A$9:$BN$9,1),FALSE),0)+IFERROR(VLOOKUP($B20,'RA9-Codisposal Upper'!$A$11:$BN$18,MATCH(Summary!AN$1,'RA9-Codisposal Upper'!$A$9:$BN$9,1),FALSE),0)+IFERROR(VLOOKUP($B20,'RA10-Codisposal Slopes'!$A$11:$BN$18,MATCH(Summary!AN$1,'RA10-Codisposal Slopes'!$A$9:$BN$9,1),FALSE),0)+IFERROR(VLOOKUP($B20,'IA1-Final Void inc Ramps'!$A$11:$BN$18,MATCH(Summary!AN$1,'IA1-Final Void inc Ramps'!$A$9:$BN$9,1),FALSE),0)</f>
        <v>182</v>
      </c>
      <c r="AO20" s="47">
        <f>IFERROR(VLOOKUP($B20,'RA1- Elevated Dumps Upper'!$A$11:$BN$18,MATCH(Summary!AO$1,'RA1- Elevated Dumps Upper'!$A$9:$BN$9,1),FALSE),0)+IFERROR(VLOOKUP($B20,'RA2-Elevated Dumps Slopes'!$A$11:$BN$18,MATCH(Summary!AO$1,'RA2-Elevated Dumps Slopes'!$A$9:$BN$9,1),FALSE),0)+IFERROR(VLOOKUP($B20,'RA3-Backfilled Pits'!$A$11:$BN$18,MATCH(Summary!AO$1,'RA3-Backfilled Pits'!$A$9:$BN$9,1),FALSE),0)+IFERROR(VLOOKUP($B20,'RA4-Tracks_Roads'!$A$11:$BN$18,MATCH(Summary!AO$1,'RA4-Tracks_Roads'!$A$9:$BN$9,1),FALSE),0)+IFERROR(VLOOKUP($B20,'RA5-ROM'!$A$11:$BN$18,MATCH(Summary!AO$1,'RA5-ROM'!$A$9:$BN$9,1),FALSE),0)+IFERROR(VLOOKUP($B20,'RA6-CHPP'!$A$11:$BN$18,MATCH(Summary!AO$1,'RA6-CHPP'!$A$9:$BN$9,1),FALSE),0)+IFERROR(VLOOKUP($B20,'RA7-Mine Infrastructure Area'!$A$11:$BN$18,MATCH(Summary!AO$1,'RA7-Mine Infrastructure Area'!$A$9:$BN$9,1),FALSE),0)+IFERROR(VLOOKUP($B20,'RA8-Water Management Structures'!$A$11:$BN$18,MATCH(Summary!AO$1,'RA8-Water Management Structures'!$A$9:$BN$9,1),FALSE),0)+IFERROR(VLOOKUP($B20,'RA9-Codisposal Upper'!$A$11:$BN$18,MATCH(Summary!AO$1,'RA9-Codisposal Upper'!$A$9:$BN$9,1),FALSE),0)+IFERROR(VLOOKUP($B20,'RA10-Codisposal Slopes'!$A$11:$BN$18,MATCH(Summary!AO$1,'RA10-Codisposal Slopes'!$A$9:$BN$9,1),FALSE),0)+IFERROR(VLOOKUP($B20,'IA1-Final Void inc Ramps'!$A$11:$BN$18,MATCH(Summary!AO$1,'IA1-Final Void inc Ramps'!$A$9:$BN$9,1),FALSE),0)</f>
        <v>182</v>
      </c>
      <c r="AP20" s="47">
        <f>IFERROR(VLOOKUP($B20,'RA1- Elevated Dumps Upper'!$A$11:$BN$18,MATCH(Summary!AP$1,'RA1- Elevated Dumps Upper'!$A$9:$BN$9,1),FALSE),0)+IFERROR(VLOOKUP($B20,'RA2-Elevated Dumps Slopes'!$A$11:$BN$18,MATCH(Summary!AP$1,'RA2-Elevated Dumps Slopes'!$A$9:$BN$9,1),FALSE),0)+IFERROR(VLOOKUP($B20,'RA3-Backfilled Pits'!$A$11:$BN$18,MATCH(Summary!AP$1,'RA3-Backfilled Pits'!$A$9:$BN$9,1),FALSE),0)+IFERROR(VLOOKUP($B20,'RA4-Tracks_Roads'!$A$11:$BN$18,MATCH(Summary!AP$1,'RA4-Tracks_Roads'!$A$9:$BN$9,1),FALSE),0)+IFERROR(VLOOKUP($B20,'RA5-ROM'!$A$11:$BN$18,MATCH(Summary!AP$1,'RA5-ROM'!$A$9:$BN$9,1),FALSE),0)+IFERROR(VLOOKUP($B20,'RA6-CHPP'!$A$11:$BN$18,MATCH(Summary!AP$1,'RA6-CHPP'!$A$9:$BN$9,1),FALSE),0)+IFERROR(VLOOKUP($B20,'RA7-Mine Infrastructure Area'!$A$11:$BN$18,MATCH(Summary!AP$1,'RA7-Mine Infrastructure Area'!$A$9:$BN$9,1),FALSE),0)+IFERROR(VLOOKUP($B20,'RA8-Water Management Structures'!$A$11:$BN$18,MATCH(Summary!AP$1,'RA8-Water Management Structures'!$A$9:$BN$9,1),FALSE),0)+IFERROR(VLOOKUP($B20,'RA9-Codisposal Upper'!$A$11:$BN$18,MATCH(Summary!AP$1,'RA9-Codisposal Upper'!$A$9:$BN$9,1),FALSE),0)+IFERROR(VLOOKUP($B20,'RA10-Codisposal Slopes'!$A$11:$BN$18,MATCH(Summary!AP$1,'RA10-Codisposal Slopes'!$A$9:$BN$9,1),FALSE),0)+IFERROR(VLOOKUP($B20,'IA1-Final Void inc Ramps'!$A$11:$BN$18,MATCH(Summary!AP$1,'IA1-Final Void inc Ramps'!$A$9:$BN$9,1),FALSE),0)</f>
        <v>182</v>
      </c>
      <c r="AQ20" s="47">
        <f>IFERROR(VLOOKUP($B20,'RA1- Elevated Dumps Upper'!$A$11:$BN$18,MATCH(Summary!AQ$1,'RA1- Elevated Dumps Upper'!$A$9:$BN$9,1),FALSE),0)+IFERROR(VLOOKUP($B20,'RA2-Elevated Dumps Slopes'!$A$11:$BN$18,MATCH(Summary!AQ$1,'RA2-Elevated Dumps Slopes'!$A$9:$BN$9,1),FALSE),0)+IFERROR(VLOOKUP($B20,'RA3-Backfilled Pits'!$A$11:$BN$18,MATCH(Summary!AQ$1,'RA3-Backfilled Pits'!$A$9:$BN$9,1),FALSE),0)+IFERROR(VLOOKUP($B20,'RA4-Tracks_Roads'!$A$11:$BN$18,MATCH(Summary!AQ$1,'RA4-Tracks_Roads'!$A$9:$BN$9,1),FALSE),0)+IFERROR(VLOOKUP($B20,'RA5-ROM'!$A$11:$BN$18,MATCH(Summary!AQ$1,'RA5-ROM'!$A$9:$BN$9,1),FALSE),0)+IFERROR(VLOOKUP($B20,'RA6-CHPP'!$A$11:$BN$18,MATCH(Summary!AQ$1,'RA6-CHPP'!$A$9:$BN$9,1),FALSE),0)+IFERROR(VLOOKUP($B20,'RA7-Mine Infrastructure Area'!$A$11:$BN$18,MATCH(Summary!AQ$1,'RA7-Mine Infrastructure Area'!$A$9:$BN$9,1),FALSE),0)+IFERROR(VLOOKUP($B20,'RA8-Water Management Structures'!$A$11:$BN$18,MATCH(Summary!AQ$1,'RA8-Water Management Structures'!$A$9:$BN$9,1),FALSE),0)+IFERROR(VLOOKUP($B20,'RA9-Codisposal Upper'!$A$11:$BN$18,MATCH(Summary!AQ$1,'RA9-Codisposal Upper'!$A$9:$BN$9,1),FALSE),0)+IFERROR(VLOOKUP($B20,'RA10-Codisposal Slopes'!$A$11:$BN$18,MATCH(Summary!AQ$1,'RA10-Codisposal Slopes'!$A$9:$BN$9,1),FALSE),0)+IFERROR(VLOOKUP($B20,'IA1-Final Void inc Ramps'!$A$11:$BN$18,MATCH(Summary!AQ$1,'IA1-Final Void inc Ramps'!$A$9:$BN$9,1),FALSE),0)</f>
        <v>725</v>
      </c>
      <c r="AR20" s="47">
        <f>IFERROR(VLOOKUP($B20,'RA1- Elevated Dumps Upper'!$A$11:$BN$18,MATCH(Summary!AR$1,'RA1- Elevated Dumps Upper'!$A$9:$BN$9,1),FALSE),0)+IFERROR(VLOOKUP($B20,'RA2-Elevated Dumps Slopes'!$A$11:$BN$18,MATCH(Summary!AR$1,'RA2-Elevated Dumps Slopes'!$A$9:$BN$9,1),FALSE),0)+IFERROR(VLOOKUP($B20,'RA3-Backfilled Pits'!$A$11:$BN$18,MATCH(Summary!AR$1,'RA3-Backfilled Pits'!$A$9:$BN$9,1),FALSE),0)+IFERROR(VLOOKUP($B20,'RA4-Tracks_Roads'!$A$11:$BN$18,MATCH(Summary!AR$1,'RA4-Tracks_Roads'!$A$9:$BN$9,1),FALSE),0)+IFERROR(VLOOKUP($B20,'RA5-ROM'!$A$11:$BN$18,MATCH(Summary!AR$1,'RA5-ROM'!$A$9:$BN$9,1),FALSE),0)+IFERROR(VLOOKUP($B20,'RA6-CHPP'!$A$11:$BN$18,MATCH(Summary!AR$1,'RA6-CHPP'!$A$9:$BN$9,1),FALSE),0)+IFERROR(VLOOKUP($B20,'RA7-Mine Infrastructure Area'!$A$11:$BN$18,MATCH(Summary!AR$1,'RA7-Mine Infrastructure Area'!$A$9:$BN$9,1),FALSE),0)+IFERROR(VLOOKUP($B20,'RA8-Water Management Structures'!$A$11:$BN$18,MATCH(Summary!AR$1,'RA8-Water Management Structures'!$A$9:$BN$9,1),FALSE),0)+IFERROR(VLOOKUP($B20,'RA9-Codisposal Upper'!$A$11:$BN$18,MATCH(Summary!AR$1,'RA9-Codisposal Upper'!$A$9:$BN$9,1),FALSE),0)+IFERROR(VLOOKUP($B20,'RA10-Codisposal Slopes'!$A$11:$BN$18,MATCH(Summary!AR$1,'RA10-Codisposal Slopes'!$A$9:$BN$9,1),FALSE),0)+IFERROR(VLOOKUP($B20,'IA1-Final Void inc Ramps'!$A$11:$BN$18,MATCH(Summary!AR$1,'IA1-Final Void inc Ramps'!$A$9:$BN$9,1),FALSE),0)</f>
        <v>725</v>
      </c>
      <c r="AS20" s="47">
        <f>IFERROR(VLOOKUP($B20,'RA1- Elevated Dumps Upper'!$A$11:$BN$18,MATCH(Summary!AS$1,'RA1- Elevated Dumps Upper'!$A$9:$BN$9,1),FALSE),0)+IFERROR(VLOOKUP($B20,'RA2-Elevated Dumps Slopes'!$A$11:$BN$18,MATCH(Summary!AS$1,'RA2-Elevated Dumps Slopes'!$A$9:$BN$9,1),FALSE),0)+IFERROR(VLOOKUP($B20,'RA3-Backfilled Pits'!$A$11:$BN$18,MATCH(Summary!AS$1,'RA3-Backfilled Pits'!$A$9:$BN$9,1),FALSE),0)+IFERROR(VLOOKUP($B20,'RA4-Tracks_Roads'!$A$11:$BN$18,MATCH(Summary!AS$1,'RA4-Tracks_Roads'!$A$9:$BN$9,1),FALSE),0)+IFERROR(VLOOKUP($B20,'RA5-ROM'!$A$11:$BN$18,MATCH(Summary!AS$1,'RA5-ROM'!$A$9:$BN$9,1),FALSE),0)+IFERROR(VLOOKUP($B20,'RA6-CHPP'!$A$11:$BN$18,MATCH(Summary!AS$1,'RA6-CHPP'!$A$9:$BN$9,1),FALSE),0)+IFERROR(VLOOKUP($B20,'RA7-Mine Infrastructure Area'!$A$11:$BN$18,MATCH(Summary!AS$1,'RA7-Mine Infrastructure Area'!$A$9:$BN$9,1),FALSE),0)+IFERROR(VLOOKUP($B20,'RA8-Water Management Structures'!$A$11:$BN$18,MATCH(Summary!AS$1,'RA8-Water Management Structures'!$A$9:$BN$9,1),FALSE),0)+IFERROR(VLOOKUP($B20,'RA9-Codisposal Upper'!$A$11:$BN$18,MATCH(Summary!AS$1,'RA9-Codisposal Upper'!$A$9:$BN$9,1),FALSE),0)+IFERROR(VLOOKUP($B20,'RA10-Codisposal Slopes'!$A$11:$BN$18,MATCH(Summary!AS$1,'RA10-Codisposal Slopes'!$A$9:$BN$9,1),FALSE),0)+IFERROR(VLOOKUP($B20,'IA1-Final Void inc Ramps'!$A$11:$BN$18,MATCH(Summary!AS$1,'IA1-Final Void inc Ramps'!$A$9:$BN$9,1),FALSE),0)</f>
        <v>791</v>
      </c>
      <c r="AT20" s="47">
        <f>IFERROR(VLOOKUP($B20,'RA1- Elevated Dumps Upper'!$A$11:$BN$18,MATCH(Summary!AT$1,'RA1- Elevated Dumps Upper'!$A$9:$BN$9,1),FALSE),0)+IFERROR(VLOOKUP($B20,'RA2-Elevated Dumps Slopes'!$A$11:$BN$18,MATCH(Summary!AT$1,'RA2-Elevated Dumps Slopes'!$A$9:$BN$9,1),FALSE),0)+IFERROR(VLOOKUP($B20,'RA3-Backfilled Pits'!$A$11:$BN$18,MATCH(Summary!AT$1,'RA3-Backfilled Pits'!$A$9:$BN$9,1),FALSE),0)+IFERROR(VLOOKUP($B20,'RA4-Tracks_Roads'!$A$11:$BN$18,MATCH(Summary!AT$1,'RA4-Tracks_Roads'!$A$9:$BN$9,1),FALSE),0)+IFERROR(VLOOKUP($B20,'RA5-ROM'!$A$11:$BN$18,MATCH(Summary!AT$1,'RA5-ROM'!$A$9:$BN$9,1),FALSE),0)+IFERROR(VLOOKUP($B20,'RA6-CHPP'!$A$11:$BN$18,MATCH(Summary!AT$1,'RA6-CHPP'!$A$9:$BN$9,1),FALSE),0)+IFERROR(VLOOKUP($B20,'RA7-Mine Infrastructure Area'!$A$11:$BN$18,MATCH(Summary!AT$1,'RA7-Mine Infrastructure Area'!$A$9:$BN$9,1),FALSE),0)+IFERROR(VLOOKUP($B20,'RA8-Water Management Structures'!$A$11:$BN$18,MATCH(Summary!AT$1,'RA8-Water Management Structures'!$A$9:$BN$9,1),FALSE),0)+IFERROR(VLOOKUP($B20,'RA9-Codisposal Upper'!$A$11:$BN$18,MATCH(Summary!AT$1,'RA9-Codisposal Upper'!$A$9:$BN$9,1),FALSE),0)+IFERROR(VLOOKUP($B20,'RA10-Codisposal Slopes'!$A$11:$BN$18,MATCH(Summary!AT$1,'RA10-Codisposal Slopes'!$A$9:$BN$9,1),FALSE),0)+IFERROR(VLOOKUP($B20,'IA1-Final Void inc Ramps'!$A$11:$BN$18,MATCH(Summary!AT$1,'IA1-Final Void inc Ramps'!$A$9:$BN$9,1),FALSE),0)</f>
        <v>791</v>
      </c>
      <c r="AU20" s="47">
        <f>IFERROR(VLOOKUP($B20,'RA1- Elevated Dumps Upper'!$A$11:$BN$18,MATCH(Summary!AU$1,'RA1- Elevated Dumps Upper'!$A$9:$BN$9,1),FALSE),0)+IFERROR(VLOOKUP($B20,'RA2-Elevated Dumps Slopes'!$A$11:$BN$18,MATCH(Summary!AU$1,'RA2-Elevated Dumps Slopes'!$A$9:$BN$9,1),FALSE),0)+IFERROR(VLOOKUP($B20,'RA3-Backfilled Pits'!$A$11:$BN$18,MATCH(Summary!AU$1,'RA3-Backfilled Pits'!$A$9:$BN$9,1),FALSE),0)+IFERROR(VLOOKUP($B20,'RA4-Tracks_Roads'!$A$11:$BN$18,MATCH(Summary!AU$1,'RA4-Tracks_Roads'!$A$9:$BN$9,1),FALSE),0)+IFERROR(VLOOKUP($B20,'RA5-ROM'!$A$11:$BN$18,MATCH(Summary!AU$1,'RA5-ROM'!$A$9:$BN$9,1),FALSE),0)+IFERROR(VLOOKUP($B20,'RA6-CHPP'!$A$11:$BN$18,MATCH(Summary!AU$1,'RA6-CHPP'!$A$9:$BN$9,1),FALSE),0)+IFERROR(VLOOKUP($B20,'RA7-Mine Infrastructure Area'!$A$11:$BN$18,MATCH(Summary!AU$1,'RA7-Mine Infrastructure Area'!$A$9:$BN$9,1),FALSE),0)+IFERROR(VLOOKUP($B20,'RA8-Water Management Structures'!$A$11:$BN$18,MATCH(Summary!AU$1,'RA8-Water Management Structures'!$A$9:$BN$9,1),FALSE),0)+IFERROR(VLOOKUP($B20,'RA9-Codisposal Upper'!$A$11:$BN$18,MATCH(Summary!AU$1,'RA9-Codisposal Upper'!$A$9:$BN$9,1),FALSE),0)+IFERROR(VLOOKUP($B20,'RA10-Codisposal Slopes'!$A$11:$BN$18,MATCH(Summary!AU$1,'RA10-Codisposal Slopes'!$A$9:$BN$9,1),FALSE),0)+IFERROR(VLOOKUP($B20,'IA1-Final Void inc Ramps'!$A$11:$BN$18,MATCH(Summary!AU$1,'IA1-Final Void inc Ramps'!$A$9:$BN$9,1),FALSE),0)</f>
        <v>791</v>
      </c>
      <c r="AV20" s="47">
        <f>IFERROR(VLOOKUP($B20,'RA1- Elevated Dumps Upper'!$A$11:$BN$18,MATCH(Summary!AV$1,'RA1- Elevated Dumps Upper'!$A$9:$BN$9,1),FALSE),0)+IFERROR(VLOOKUP($B20,'RA2-Elevated Dumps Slopes'!$A$11:$BN$18,MATCH(Summary!AV$1,'RA2-Elevated Dumps Slopes'!$A$9:$BN$9,1),FALSE),0)+IFERROR(VLOOKUP($B20,'RA3-Backfilled Pits'!$A$11:$BN$18,MATCH(Summary!AV$1,'RA3-Backfilled Pits'!$A$9:$BN$9,1),FALSE),0)+IFERROR(VLOOKUP($B20,'RA4-Tracks_Roads'!$A$11:$BN$18,MATCH(Summary!AV$1,'RA4-Tracks_Roads'!$A$9:$BN$9,1),FALSE),0)+IFERROR(VLOOKUP($B20,'RA5-ROM'!$A$11:$BN$18,MATCH(Summary!AV$1,'RA5-ROM'!$A$9:$BN$9,1),FALSE),0)+IFERROR(VLOOKUP($B20,'RA6-CHPP'!$A$11:$BN$18,MATCH(Summary!AV$1,'RA6-CHPP'!$A$9:$BN$9,1),FALSE),0)+IFERROR(VLOOKUP($B20,'RA7-Mine Infrastructure Area'!$A$11:$BN$18,MATCH(Summary!AV$1,'RA7-Mine Infrastructure Area'!$A$9:$BN$9,1),FALSE),0)+IFERROR(VLOOKUP($B20,'RA8-Water Management Structures'!$A$11:$BN$18,MATCH(Summary!AV$1,'RA8-Water Management Structures'!$A$9:$BN$9,1),FALSE),0)+IFERROR(VLOOKUP($B20,'RA9-Codisposal Upper'!$A$11:$BN$18,MATCH(Summary!AV$1,'RA9-Codisposal Upper'!$A$9:$BN$9,1),FALSE),0)+IFERROR(VLOOKUP($B20,'RA10-Codisposal Slopes'!$A$11:$BN$18,MATCH(Summary!AV$1,'RA10-Codisposal Slopes'!$A$9:$BN$9,1),FALSE),0)+IFERROR(VLOOKUP($B20,'IA1-Final Void inc Ramps'!$A$11:$BN$18,MATCH(Summary!AV$1,'IA1-Final Void inc Ramps'!$A$9:$BN$9,1),FALSE),0)</f>
        <v>791</v>
      </c>
      <c r="AW20" s="47">
        <f>IFERROR(VLOOKUP($B20,'RA1- Elevated Dumps Upper'!$A$11:$BN$18,MATCH(Summary!AW$1,'RA1- Elevated Dumps Upper'!$A$9:$BN$9,1),FALSE),0)+IFERROR(VLOOKUP($B20,'RA2-Elevated Dumps Slopes'!$A$11:$BN$18,MATCH(Summary!AW$1,'RA2-Elevated Dumps Slopes'!$A$9:$BN$9,1),FALSE),0)+IFERROR(VLOOKUP($B20,'RA3-Backfilled Pits'!$A$11:$BN$18,MATCH(Summary!AW$1,'RA3-Backfilled Pits'!$A$9:$BN$9,1),FALSE),0)+IFERROR(VLOOKUP($B20,'RA4-Tracks_Roads'!$A$11:$BN$18,MATCH(Summary!AW$1,'RA4-Tracks_Roads'!$A$9:$BN$9,1),FALSE),0)+IFERROR(VLOOKUP($B20,'RA5-ROM'!$A$11:$BN$18,MATCH(Summary!AW$1,'RA5-ROM'!$A$9:$BN$9,1),FALSE),0)+IFERROR(VLOOKUP($B20,'RA6-CHPP'!$A$11:$BN$18,MATCH(Summary!AW$1,'RA6-CHPP'!$A$9:$BN$9,1),FALSE),0)+IFERROR(VLOOKUP($B20,'RA7-Mine Infrastructure Area'!$A$11:$BN$18,MATCH(Summary!AW$1,'RA7-Mine Infrastructure Area'!$A$9:$BN$9,1),FALSE),0)+IFERROR(VLOOKUP($B20,'RA8-Water Management Structures'!$A$11:$BN$18,MATCH(Summary!AW$1,'RA8-Water Management Structures'!$A$9:$BN$9,1),FALSE),0)+IFERROR(VLOOKUP($B20,'RA9-Codisposal Upper'!$A$11:$BN$18,MATCH(Summary!AW$1,'RA9-Codisposal Upper'!$A$9:$BN$9,1),FALSE),0)+IFERROR(VLOOKUP($B20,'RA10-Codisposal Slopes'!$A$11:$BN$18,MATCH(Summary!AW$1,'RA10-Codisposal Slopes'!$A$9:$BN$9,1),FALSE),0)+IFERROR(VLOOKUP($B20,'IA1-Final Void inc Ramps'!$A$11:$BN$18,MATCH(Summary!AW$1,'IA1-Final Void inc Ramps'!$A$9:$BN$9,1),FALSE),0)</f>
        <v>825</v>
      </c>
      <c r="AX20" s="47">
        <f>IFERROR(VLOOKUP($B20,'RA1- Elevated Dumps Upper'!$A$11:$BN$18,MATCH(Summary!AX$1,'RA1- Elevated Dumps Upper'!$A$9:$BN$9,1),FALSE),0)+IFERROR(VLOOKUP($B20,'RA2-Elevated Dumps Slopes'!$A$11:$BN$18,MATCH(Summary!AX$1,'RA2-Elevated Dumps Slopes'!$A$9:$BN$9,1),FALSE),0)+IFERROR(VLOOKUP($B20,'RA3-Backfilled Pits'!$A$11:$BN$18,MATCH(Summary!AX$1,'RA3-Backfilled Pits'!$A$9:$BN$9,1),FALSE),0)+IFERROR(VLOOKUP($B20,'RA4-Tracks_Roads'!$A$11:$BN$18,MATCH(Summary!AX$1,'RA4-Tracks_Roads'!$A$9:$BN$9,1),FALSE),0)+IFERROR(VLOOKUP($B20,'RA5-ROM'!$A$11:$BN$18,MATCH(Summary!AX$1,'RA5-ROM'!$A$9:$BN$9,1),FALSE),0)+IFERROR(VLOOKUP($B20,'RA6-CHPP'!$A$11:$BN$18,MATCH(Summary!AX$1,'RA6-CHPP'!$A$9:$BN$9,1),FALSE),0)+IFERROR(VLOOKUP($B20,'RA7-Mine Infrastructure Area'!$A$11:$BN$18,MATCH(Summary!AX$1,'RA7-Mine Infrastructure Area'!$A$9:$BN$9,1),FALSE),0)+IFERROR(VLOOKUP($B20,'RA8-Water Management Structures'!$A$11:$BN$18,MATCH(Summary!AX$1,'RA8-Water Management Structures'!$A$9:$BN$9,1),FALSE),0)+IFERROR(VLOOKUP($B20,'RA9-Codisposal Upper'!$A$11:$BN$18,MATCH(Summary!AX$1,'RA9-Codisposal Upper'!$A$9:$BN$9,1),FALSE),0)+IFERROR(VLOOKUP($B20,'RA10-Codisposal Slopes'!$A$11:$BN$18,MATCH(Summary!AX$1,'RA10-Codisposal Slopes'!$A$9:$BN$9,1),FALSE),0)+IFERROR(VLOOKUP($B20,'IA1-Final Void inc Ramps'!$A$11:$BN$18,MATCH(Summary!AX$1,'IA1-Final Void inc Ramps'!$A$9:$BN$9,1),FALSE),0)</f>
        <v>825</v>
      </c>
      <c r="AY20" s="47">
        <f>IFERROR(VLOOKUP($B20,'RA1- Elevated Dumps Upper'!$A$11:$BN$18,MATCH(Summary!AY$1,'RA1- Elevated Dumps Upper'!$A$9:$BN$9,1),FALSE),0)+IFERROR(VLOOKUP($B20,'RA2-Elevated Dumps Slopes'!$A$11:$BN$18,MATCH(Summary!AY$1,'RA2-Elevated Dumps Slopes'!$A$9:$BN$9,1),FALSE),0)+IFERROR(VLOOKUP($B20,'RA3-Backfilled Pits'!$A$11:$BN$18,MATCH(Summary!AY$1,'RA3-Backfilled Pits'!$A$9:$BN$9,1),FALSE),0)+IFERROR(VLOOKUP($B20,'RA4-Tracks_Roads'!$A$11:$BN$18,MATCH(Summary!AY$1,'RA4-Tracks_Roads'!$A$9:$BN$9,1),FALSE),0)+IFERROR(VLOOKUP($B20,'RA5-ROM'!$A$11:$BN$18,MATCH(Summary!AY$1,'RA5-ROM'!$A$9:$BN$9,1),FALSE),0)+IFERROR(VLOOKUP($B20,'RA6-CHPP'!$A$11:$BN$18,MATCH(Summary!AY$1,'RA6-CHPP'!$A$9:$BN$9,1),FALSE),0)+IFERROR(VLOOKUP($B20,'RA7-Mine Infrastructure Area'!$A$11:$BN$18,MATCH(Summary!AY$1,'RA7-Mine Infrastructure Area'!$A$9:$BN$9,1),FALSE),0)+IFERROR(VLOOKUP($B20,'RA8-Water Management Structures'!$A$11:$BN$18,MATCH(Summary!AY$1,'RA8-Water Management Structures'!$A$9:$BN$9,1),FALSE),0)+IFERROR(VLOOKUP($B20,'RA9-Codisposal Upper'!$A$11:$BN$18,MATCH(Summary!AY$1,'RA9-Codisposal Upper'!$A$9:$BN$9,1),FALSE),0)+IFERROR(VLOOKUP($B20,'RA10-Codisposal Slopes'!$A$11:$BN$18,MATCH(Summary!AY$1,'RA10-Codisposal Slopes'!$A$9:$BN$9,1),FALSE),0)+IFERROR(VLOOKUP($B20,'IA1-Final Void inc Ramps'!$A$11:$BN$18,MATCH(Summary!AY$1,'IA1-Final Void inc Ramps'!$A$9:$BN$9,1),FALSE),0)</f>
        <v>825</v>
      </c>
      <c r="AZ20" s="47">
        <f>IFERROR(VLOOKUP($B20,'RA1- Elevated Dumps Upper'!$A$11:$BN$18,MATCH(Summary!AZ$1,'RA1- Elevated Dumps Upper'!$A$9:$BN$9,1),FALSE),0)+IFERROR(VLOOKUP($B20,'RA2-Elevated Dumps Slopes'!$A$11:$BN$18,MATCH(Summary!AZ$1,'RA2-Elevated Dumps Slopes'!$A$9:$BN$9,1),FALSE),0)+IFERROR(VLOOKUP($B20,'RA3-Backfilled Pits'!$A$11:$BN$18,MATCH(Summary!AZ$1,'RA3-Backfilled Pits'!$A$9:$BN$9,1),FALSE),0)+IFERROR(VLOOKUP($B20,'RA4-Tracks_Roads'!$A$11:$BN$18,MATCH(Summary!AZ$1,'RA4-Tracks_Roads'!$A$9:$BN$9,1),FALSE),0)+IFERROR(VLOOKUP($B20,'RA5-ROM'!$A$11:$BN$18,MATCH(Summary!AZ$1,'RA5-ROM'!$A$9:$BN$9,1),FALSE),0)+IFERROR(VLOOKUP($B20,'RA6-CHPP'!$A$11:$BN$18,MATCH(Summary!AZ$1,'RA6-CHPP'!$A$9:$BN$9,1),FALSE),0)+IFERROR(VLOOKUP($B20,'RA7-Mine Infrastructure Area'!$A$11:$BN$18,MATCH(Summary!AZ$1,'RA7-Mine Infrastructure Area'!$A$9:$BN$9,1),FALSE),0)+IFERROR(VLOOKUP($B20,'RA8-Water Management Structures'!$A$11:$BN$18,MATCH(Summary!AZ$1,'RA8-Water Management Structures'!$A$9:$BN$9,1),FALSE),0)+IFERROR(VLOOKUP($B20,'RA9-Codisposal Upper'!$A$11:$BN$18,MATCH(Summary!AZ$1,'RA9-Codisposal Upper'!$A$9:$BN$9,1),FALSE),0)+IFERROR(VLOOKUP($B20,'RA10-Codisposal Slopes'!$A$11:$BN$18,MATCH(Summary!AZ$1,'RA10-Codisposal Slopes'!$A$9:$BN$9,1),FALSE),0)+IFERROR(VLOOKUP($B20,'IA1-Final Void inc Ramps'!$A$11:$BN$18,MATCH(Summary!AZ$1,'IA1-Final Void inc Ramps'!$A$9:$BN$9,1),FALSE),0)</f>
        <v>1004.1</v>
      </c>
      <c r="BA20" s="47">
        <f>IFERROR(VLOOKUP($B20,'RA1- Elevated Dumps Upper'!$A$11:$BN$18,MATCH(Summary!BA$1,'RA1- Elevated Dumps Upper'!$A$9:$BN$9,1),FALSE),0)+IFERROR(VLOOKUP($B20,'RA2-Elevated Dumps Slopes'!$A$11:$BN$18,MATCH(Summary!BA$1,'RA2-Elevated Dumps Slopes'!$A$9:$BN$9,1),FALSE),0)+IFERROR(VLOOKUP($B20,'RA3-Backfilled Pits'!$A$11:$BN$18,MATCH(Summary!BA$1,'RA3-Backfilled Pits'!$A$9:$BN$9,1),FALSE),0)+IFERROR(VLOOKUP($B20,'RA4-Tracks_Roads'!$A$11:$BN$18,MATCH(Summary!BA$1,'RA4-Tracks_Roads'!$A$9:$BN$9,1),FALSE),0)+IFERROR(VLOOKUP($B20,'RA5-ROM'!$A$11:$BN$18,MATCH(Summary!BA$1,'RA5-ROM'!$A$9:$BN$9,1),FALSE),0)+IFERROR(VLOOKUP($B20,'RA6-CHPP'!$A$11:$BN$18,MATCH(Summary!BA$1,'RA6-CHPP'!$A$9:$BN$9,1),FALSE),0)+IFERROR(VLOOKUP($B20,'RA7-Mine Infrastructure Area'!$A$11:$BN$18,MATCH(Summary!BA$1,'RA7-Mine Infrastructure Area'!$A$9:$BN$9,1),FALSE),0)+IFERROR(VLOOKUP($B20,'RA8-Water Management Structures'!$A$11:$BN$18,MATCH(Summary!BA$1,'RA8-Water Management Structures'!$A$9:$BN$9,1),FALSE),0)+IFERROR(VLOOKUP($B20,'RA9-Codisposal Upper'!$A$11:$BN$18,MATCH(Summary!BA$1,'RA9-Codisposal Upper'!$A$9:$BN$9,1),FALSE),0)+IFERROR(VLOOKUP($B20,'RA10-Codisposal Slopes'!$A$11:$BN$18,MATCH(Summary!BA$1,'RA10-Codisposal Slopes'!$A$9:$BN$9,1),FALSE),0)+IFERROR(VLOOKUP($B20,'IA1-Final Void inc Ramps'!$A$11:$BN$18,MATCH(Summary!BA$1,'IA1-Final Void inc Ramps'!$A$9:$BN$9,1),FALSE),0)</f>
        <v>1004.1</v>
      </c>
      <c r="BB20" s="47">
        <f>IFERROR(VLOOKUP($B20,'RA1- Elevated Dumps Upper'!$A$11:$BN$18,MATCH(Summary!BB$1,'RA1- Elevated Dumps Upper'!$A$9:$BN$9,1),FALSE),0)+IFERROR(VLOOKUP($B20,'RA2-Elevated Dumps Slopes'!$A$11:$BN$18,MATCH(Summary!BB$1,'RA2-Elevated Dumps Slopes'!$A$9:$BN$9,1),FALSE),0)+IFERROR(VLOOKUP($B20,'RA3-Backfilled Pits'!$A$11:$BN$18,MATCH(Summary!BB$1,'RA3-Backfilled Pits'!$A$9:$BN$9,1),FALSE),0)+IFERROR(VLOOKUP($B20,'RA4-Tracks_Roads'!$A$11:$BN$18,MATCH(Summary!BB$1,'RA4-Tracks_Roads'!$A$9:$BN$9,1),FALSE),0)+IFERROR(VLOOKUP($B20,'RA5-ROM'!$A$11:$BN$18,MATCH(Summary!BB$1,'RA5-ROM'!$A$9:$BN$9,1),FALSE),0)+IFERROR(VLOOKUP($B20,'RA6-CHPP'!$A$11:$BN$18,MATCH(Summary!BB$1,'RA6-CHPP'!$A$9:$BN$9,1),FALSE),0)+IFERROR(VLOOKUP($B20,'RA7-Mine Infrastructure Area'!$A$11:$BN$18,MATCH(Summary!BB$1,'RA7-Mine Infrastructure Area'!$A$9:$BN$9,1),FALSE),0)+IFERROR(VLOOKUP($B20,'RA8-Water Management Structures'!$A$11:$BN$18,MATCH(Summary!BB$1,'RA8-Water Management Structures'!$A$9:$BN$9,1),FALSE),0)+IFERROR(VLOOKUP($B20,'RA9-Codisposal Upper'!$A$11:$BN$18,MATCH(Summary!BB$1,'RA9-Codisposal Upper'!$A$9:$BN$9,1),FALSE),0)+IFERROR(VLOOKUP($B20,'RA10-Codisposal Slopes'!$A$11:$BN$18,MATCH(Summary!BB$1,'RA10-Codisposal Slopes'!$A$9:$BN$9,1),FALSE),0)+IFERROR(VLOOKUP($B20,'IA1-Final Void inc Ramps'!$A$11:$BN$18,MATCH(Summary!BB$1,'IA1-Final Void inc Ramps'!$A$9:$BN$9,1),FALSE),0)</f>
        <v>1331.3999999999999</v>
      </c>
      <c r="BC20" s="47">
        <f>IFERROR(VLOOKUP($B20,'RA1- Elevated Dumps Upper'!$A$11:$BN$18,MATCH(Summary!BC$1,'RA1- Elevated Dumps Upper'!$A$9:$BN$9,1),FALSE),0)+IFERROR(VLOOKUP($B20,'RA2-Elevated Dumps Slopes'!$A$11:$BN$18,MATCH(Summary!BC$1,'RA2-Elevated Dumps Slopes'!$A$9:$BN$9,1),FALSE),0)+IFERROR(VLOOKUP($B20,'RA3-Backfilled Pits'!$A$11:$BN$18,MATCH(Summary!BC$1,'RA3-Backfilled Pits'!$A$9:$BN$9,1),FALSE),0)+IFERROR(VLOOKUP($B20,'RA4-Tracks_Roads'!$A$11:$BN$18,MATCH(Summary!BC$1,'RA4-Tracks_Roads'!$A$9:$BN$9,1),FALSE),0)+IFERROR(VLOOKUP($B20,'RA5-ROM'!$A$11:$BN$18,MATCH(Summary!BC$1,'RA5-ROM'!$A$9:$BN$9,1),FALSE),0)+IFERROR(VLOOKUP($B20,'RA6-CHPP'!$A$11:$BN$18,MATCH(Summary!BC$1,'RA6-CHPP'!$A$9:$BN$9,1),FALSE),0)+IFERROR(VLOOKUP($B20,'RA7-Mine Infrastructure Area'!$A$11:$BN$18,MATCH(Summary!BC$1,'RA7-Mine Infrastructure Area'!$A$9:$BN$9,1),FALSE),0)+IFERROR(VLOOKUP($B20,'RA8-Water Management Structures'!$A$11:$BN$18,MATCH(Summary!BC$1,'RA8-Water Management Structures'!$A$9:$BN$9,1),FALSE),0)+IFERROR(VLOOKUP($B20,'RA9-Codisposal Upper'!$A$11:$BN$18,MATCH(Summary!BC$1,'RA9-Codisposal Upper'!$A$9:$BN$9,1),FALSE),0)+IFERROR(VLOOKUP($B20,'RA10-Codisposal Slopes'!$A$11:$BN$18,MATCH(Summary!BC$1,'RA10-Codisposal Slopes'!$A$9:$BN$9,1),FALSE),0)+IFERROR(VLOOKUP($B20,'IA1-Final Void inc Ramps'!$A$11:$BN$18,MATCH(Summary!BC$1,'IA1-Final Void inc Ramps'!$A$9:$BN$9,1),FALSE),0)</f>
        <v>1331.3999999999999</v>
      </c>
      <c r="BD20" s="47">
        <f>IFERROR(VLOOKUP($B20,'RA1- Elevated Dumps Upper'!$A$11:$BN$18,MATCH(Summary!BD$1,'RA1- Elevated Dumps Upper'!$A$9:$BN$9,1),FALSE),0)+IFERROR(VLOOKUP($B20,'RA2-Elevated Dumps Slopes'!$A$11:$BN$18,MATCH(Summary!BD$1,'RA2-Elevated Dumps Slopes'!$A$9:$BN$9,1),FALSE),0)+IFERROR(VLOOKUP($B20,'RA3-Backfilled Pits'!$A$11:$BN$18,MATCH(Summary!BD$1,'RA3-Backfilled Pits'!$A$9:$BN$9,1),FALSE),0)+IFERROR(VLOOKUP($B20,'RA4-Tracks_Roads'!$A$11:$BN$18,MATCH(Summary!BD$1,'RA4-Tracks_Roads'!$A$9:$BN$9,1),FALSE),0)+IFERROR(VLOOKUP($B20,'RA5-ROM'!$A$11:$BN$18,MATCH(Summary!BD$1,'RA5-ROM'!$A$9:$BN$9,1),FALSE),0)+IFERROR(VLOOKUP($B20,'RA6-CHPP'!$A$11:$BN$18,MATCH(Summary!BD$1,'RA6-CHPP'!$A$9:$BN$9,1),FALSE),0)+IFERROR(VLOOKUP($B20,'RA7-Mine Infrastructure Area'!$A$11:$BN$18,MATCH(Summary!BD$1,'RA7-Mine Infrastructure Area'!$A$9:$BN$9,1),FALSE),0)+IFERROR(VLOOKUP($B20,'RA8-Water Management Structures'!$A$11:$BN$18,MATCH(Summary!BD$1,'RA8-Water Management Structures'!$A$9:$BN$9,1),FALSE),0)+IFERROR(VLOOKUP($B20,'RA9-Codisposal Upper'!$A$11:$BN$18,MATCH(Summary!BD$1,'RA9-Codisposal Upper'!$A$9:$BN$9,1),FALSE),0)+IFERROR(VLOOKUP($B20,'RA10-Codisposal Slopes'!$A$11:$BN$18,MATCH(Summary!BD$1,'RA10-Codisposal Slopes'!$A$9:$BN$9,1),FALSE),0)+IFERROR(VLOOKUP($B20,'IA1-Final Void inc Ramps'!$A$11:$BN$18,MATCH(Summary!BD$1,'IA1-Final Void inc Ramps'!$A$9:$BN$9,1),FALSE),0)</f>
        <v>1331.3999999999999</v>
      </c>
      <c r="BE20" s="47">
        <f>IFERROR(VLOOKUP($B20,'RA1- Elevated Dumps Upper'!$A$11:$BN$18,MATCH(Summary!BE$1,'RA1- Elevated Dumps Upper'!$A$9:$BN$9,1),FALSE),0)+IFERROR(VLOOKUP($B20,'RA2-Elevated Dumps Slopes'!$A$11:$BN$18,MATCH(Summary!BE$1,'RA2-Elevated Dumps Slopes'!$A$9:$BN$9,1),FALSE),0)+IFERROR(VLOOKUP($B20,'RA3-Backfilled Pits'!$A$11:$BN$18,MATCH(Summary!BE$1,'RA3-Backfilled Pits'!$A$9:$BN$9,1),FALSE),0)+IFERROR(VLOOKUP($B20,'RA4-Tracks_Roads'!$A$11:$BN$18,MATCH(Summary!BE$1,'RA4-Tracks_Roads'!$A$9:$BN$9,1),FALSE),0)+IFERROR(VLOOKUP($B20,'RA5-ROM'!$A$11:$BN$18,MATCH(Summary!BE$1,'RA5-ROM'!$A$9:$BN$9,1),FALSE),0)+IFERROR(VLOOKUP($B20,'RA6-CHPP'!$A$11:$BN$18,MATCH(Summary!BE$1,'RA6-CHPP'!$A$9:$BN$9,1),FALSE),0)+IFERROR(VLOOKUP($B20,'RA7-Mine Infrastructure Area'!$A$11:$BN$18,MATCH(Summary!BE$1,'RA7-Mine Infrastructure Area'!$A$9:$BN$9,1),FALSE),0)+IFERROR(VLOOKUP($B20,'RA8-Water Management Structures'!$A$11:$BN$18,MATCH(Summary!BE$1,'RA8-Water Management Structures'!$A$9:$BN$9,1),FALSE),0)+IFERROR(VLOOKUP($B20,'RA9-Codisposal Upper'!$A$11:$BN$18,MATCH(Summary!BE$1,'RA9-Codisposal Upper'!$A$9:$BN$9,1),FALSE),0)+IFERROR(VLOOKUP($B20,'RA10-Codisposal Slopes'!$A$11:$BN$18,MATCH(Summary!BE$1,'RA10-Codisposal Slopes'!$A$9:$BN$9,1),FALSE),0)+IFERROR(VLOOKUP($B20,'IA1-Final Void inc Ramps'!$A$11:$BN$18,MATCH(Summary!BE$1,'IA1-Final Void inc Ramps'!$A$9:$BN$9,1),FALSE),0)</f>
        <v>1331.3999999999999</v>
      </c>
      <c r="BF20" s="47">
        <f>IFERROR(VLOOKUP($B20,'RA1- Elevated Dumps Upper'!$A$11:$BN$18,MATCH(Summary!BF$1,'RA1- Elevated Dumps Upper'!$A$9:$BN$9,1),FALSE),0)+IFERROR(VLOOKUP($B20,'RA2-Elevated Dumps Slopes'!$A$11:$BN$18,MATCH(Summary!BF$1,'RA2-Elevated Dumps Slopes'!$A$9:$BN$9,1),FALSE),0)+IFERROR(VLOOKUP($B20,'RA3-Backfilled Pits'!$A$11:$BN$18,MATCH(Summary!BF$1,'RA3-Backfilled Pits'!$A$9:$BN$9,1),FALSE),0)+IFERROR(VLOOKUP($B20,'RA4-Tracks_Roads'!$A$11:$BN$18,MATCH(Summary!BF$1,'RA4-Tracks_Roads'!$A$9:$BN$9,1),FALSE),0)+IFERROR(VLOOKUP($B20,'RA5-ROM'!$A$11:$BN$18,MATCH(Summary!BF$1,'RA5-ROM'!$A$9:$BN$9,1),FALSE),0)+IFERROR(VLOOKUP($B20,'RA6-CHPP'!$A$11:$BN$18,MATCH(Summary!BF$1,'RA6-CHPP'!$A$9:$BN$9,1),FALSE),0)+IFERROR(VLOOKUP($B20,'RA7-Mine Infrastructure Area'!$A$11:$BN$18,MATCH(Summary!BF$1,'RA7-Mine Infrastructure Area'!$A$9:$BN$9,1),FALSE),0)+IFERROR(VLOOKUP($B20,'RA8-Water Management Structures'!$A$11:$BN$18,MATCH(Summary!BF$1,'RA8-Water Management Structures'!$A$9:$BN$9,1),FALSE),0)+IFERROR(VLOOKUP($B20,'RA9-Codisposal Upper'!$A$11:$BN$18,MATCH(Summary!BF$1,'RA9-Codisposal Upper'!$A$9:$BN$9,1),FALSE),0)+IFERROR(VLOOKUP($B20,'RA10-Codisposal Slopes'!$A$11:$BN$18,MATCH(Summary!BF$1,'RA10-Codisposal Slopes'!$A$9:$BN$9,1),FALSE),0)+IFERROR(VLOOKUP($B20,'IA1-Final Void inc Ramps'!$A$11:$BN$18,MATCH(Summary!BF$1,'IA1-Final Void inc Ramps'!$A$9:$BN$9,1),FALSE),0)</f>
        <v>1331.3999999999999</v>
      </c>
      <c r="BG20" s="47">
        <f>IFERROR(VLOOKUP($B20,'RA1- Elevated Dumps Upper'!$A$11:$BN$18,MATCH(Summary!BG$1,'RA1- Elevated Dumps Upper'!$A$9:$BN$9,1),FALSE),0)+IFERROR(VLOOKUP($B20,'RA2-Elevated Dumps Slopes'!$A$11:$BN$18,MATCH(Summary!BG$1,'RA2-Elevated Dumps Slopes'!$A$9:$BN$9,1),FALSE),0)+IFERROR(VLOOKUP($B20,'RA3-Backfilled Pits'!$A$11:$BN$18,MATCH(Summary!BG$1,'RA3-Backfilled Pits'!$A$9:$BN$9,1),FALSE),0)+IFERROR(VLOOKUP($B20,'RA4-Tracks_Roads'!$A$11:$BN$18,MATCH(Summary!BG$1,'RA4-Tracks_Roads'!$A$9:$BN$9,1),FALSE),0)+IFERROR(VLOOKUP($B20,'RA5-ROM'!$A$11:$BN$18,MATCH(Summary!BG$1,'RA5-ROM'!$A$9:$BN$9,1),FALSE),0)+IFERROR(VLOOKUP($B20,'RA6-CHPP'!$A$11:$BN$18,MATCH(Summary!BG$1,'RA6-CHPP'!$A$9:$BN$9,1),FALSE),0)+IFERROR(VLOOKUP($B20,'RA7-Mine Infrastructure Area'!$A$11:$BN$18,MATCH(Summary!BG$1,'RA7-Mine Infrastructure Area'!$A$9:$BN$9,1),FALSE),0)+IFERROR(VLOOKUP($B20,'RA8-Water Management Structures'!$A$11:$BN$18,MATCH(Summary!BG$1,'RA8-Water Management Structures'!$A$9:$BN$9,1),FALSE),0)+IFERROR(VLOOKUP($B20,'RA9-Codisposal Upper'!$A$11:$BN$18,MATCH(Summary!BG$1,'RA9-Codisposal Upper'!$A$9:$BN$9,1),FALSE),0)+IFERROR(VLOOKUP($B20,'RA10-Codisposal Slopes'!$A$11:$BN$18,MATCH(Summary!BG$1,'RA10-Codisposal Slopes'!$A$9:$BN$9,1),FALSE),0)+IFERROR(VLOOKUP($B20,'IA1-Final Void inc Ramps'!$A$11:$BN$18,MATCH(Summary!BG$1,'IA1-Final Void inc Ramps'!$A$9:$BN$9,1),FALSE),0)</f>
        <v>1331.3999999999999</v>
      </c>
      <c r="BH20" s="47">
        <f>IFERROR(VLOOKUP($B20,'RA1- Elevated Dumps Upper'!$A$11:$BN$18,MATCH(Summary!BH$1,'RA1- Elevated Dumps Upper'!$A$9:$BN$9,1),FALSE),0)+IFERROR(VLOOKUP($B20,'RA2-Elevated Dumps Slopes'!$A$11:$BN$18,MATCH(Summary!BH$1,'RA2-Elevated Dumps Slopes'!$A$9:$BN$9,1),FALSE),0)+IFERROR(VLOOKUP($B20,'RA3-Backfilled Pits'!$A$11:$BN$18,MATCH(Summary!BH$1,'RA3-Backfilled Pits'!$A$9:$BN$9,1),FALSE),0)+IFERROR(VLOOKUP($B20,'RA4-Tracks_Roads'!$A$11:$BN$18,MATCH(Summary!BH$1,'RA4-Tracks_Roads'!$A$9:$BN$9,1),FALSE),0)+IFERROR(VLOOKUP($B20,'RA5-ROM'!$A$11:$BN$18,MATCH(Summary!BH$1,'RA5-ROM'!$A$9:$BN$9,1),FALSE),0)+IFERROR(VLOOKUP($B20,'RA6-CHPP'!$A$11:$BN$18,MATCH(Summary!BH$1,'RA6-CHPP'!$A$9:$BN$9,1),FALSE),0)+IFERROR(VLOOKUP($B20,'RA7-Mine Infrastructure Area'!$A$11:$BN$18,MATCH(Summary!BH$1,'RA7-Mine Infrastructure Area'!$A$9:$BN$9,1),FALSE),0)+IFERROR(VLOOKUP($B20,'RA8-Water Management Structures'!$A$11:$BN$18,MATCH(Summary!BH$1,'RA8-Water Management Structures'!$A$9:$BN$9,1),FALSE),0)+IFERROR(VLOOKUP($B20,'RA9-Codisposal Upper'!$A$11:$BN$18,MATCH(Summary!BH$1,'RA9-Codisposal Upper'!$A$9:$BN$9,1),FALSE),0)+IFERROR(VLOOKUP($B20,'RA10-Codisposal Slopes'!$A$11:$BN$18,MATCH(Summary!BH$1,'RA10-Codisposal Slopes'!$A$9:$BN$9,1),FALSE),0)+IFERROR(VLOOKUP($B20,'IA1-Final Void inc Ramps'!$A$11:$BN$18,MATCH(Summary!BH$1,'IA1-Final Void inc Ramps'!$A$9:$BN$9,1),FALSE),0)</f>
        <v>1331.3999999999999</v>
      </c>
      <c r="BI20" s="47">
        <f>IFERROR(VLOOKUP($B20,'RA1- Elevated Dumps Upper'!$A$11:$BN$18,MATCH(Summary!BI$1,'RA1- Elevated Dumps Upper'!$A$9:$BN$9,1),FALSE),0)+IFERROR(VLOOKUP($B20,'RA2-Elevated Dumps Slopes'!$A$11:$BN$18,MATCH(Summary!BI$1,'RA2-Elevated Dumps Slopes'!$A$9:$BN$9,1),FALSE),0)+IFERROR(VLOOKUP($B20,'RA3-Backfilled Pits'!$A$11:$BN$18,MATCH(Summary!BI$1,'RA3-Backfilled Pits'!$A$9:$BN$9,1),FALSE),0)+IFERROR(VLOOKUP($B20,'RA4-Tracks_Roads'!$A$11:$BN$18,MATCH(Summary!BI$1,'RA4-Tracks_Roads'!$A$9:$BN$9,1),FALSE),0)+IFERROR(VLOOKUP($B20,'RA5-ROM'!$A$11:$BN$18,MATCH(Summary!BI$1,'RA5-ROM'!$A$9:$BN$9,1),FALSE),0)+IFERROR(VLOOKUP($B20,'RA6-CHPP'!$A$11:$BN$18,MATCH(Summary!BI$1,'RA6-CHPP'!$A$9:$BN$9,1),FALSE),0)+IFERROR(VLOOKUP($B20,'RA7-Mine Infrastructure Area'!$A$11:$BN$18,MATCH(Summary!BI$1,'RA7-Mine Infrastructure Area'!$A$9:$BN$9,1),FALSE),0)+IFERROR(VLOOKUP($B20,'RA8-Water Management Structures'!$A$11:$BN$18,MATCH(Summary!BI$1,'RA8-Water Management Structures'!$A$9:$BN$9,1),FALSE),0)+IFERROR(VLOOKUP($B20,'RA9-Codisposal Upper'!$A$11:$BN$18,MATCH(Summary!BI$1,'RA9-Codisposal Upper'!$A$9:$BN$9,1),FALSE),0)+IFERROR(VLOOKUP($B20,'RA10-Codisposal Slopes'!$A$11:$BN$18,MATCH(Summary!BI$1,'RA10-Codisposal Slopes'!$A$9:$BN$9,1),FALSE),0)+IFERROR(VLOOKUP($B20,'IA1-Final Void inc Ramps'!$A$11:$BN$18,MATCH(Summary!BI$1,'IA1-Final Void inc Ramps'!$A$9:$BN$9,1),FALSE),0)</f>
        <v>1331.3999999999999</v>
      </c>
      <c r="BJ20" s="47">
        <f>IFERROR(VLOOKUP($B20,'RA1- Elevated Dumps Upper'!$A$11:$BN$18,MATCH(Summary!BJ$1,'RA1- Elevated Dumps Upper'!$A$9:$BN$9,1),FALSE),0)+IFERROR(VLOOKUP($B20,'RA2-Elevated Dumps Slopes'!$A$11:$BN$18,MATCH(Summary!BJ$1,'RA2-Elevated Dumps Slopes'!$A$9:$BN$9,1),FALSE),0)+IFERROR(VLOOKUP($B20,'RA3-Backfilled Pits'!$A$11:$BN$18,MATCH(Summary!BJ$1,'RA3-Backfilled Pits'!$A$9:$BN$9,1),FALSE),0)+IFERROR(VLOOKUP($B20,'RA4-Tracks_Roads'!$A$11:$BN$18,MATCH(Summary!BJ$1,'RA4-Tracks_Roads'!$A$9:$BN$9,1),FALSE),0)+IFERROR(VLOOKUP($B20,'RA5-ROM'!$A$11:$BN$18,MATCH(Summary!BJ$1,'RA5-ROM'!$A$9:$BN$9,1),FALSE),0)+IFERROR(VLOOKUP($B20,'RA6-CHPP'!$A$11:$BN$18,MATCH(Summary!BJ$1,'RA6-CHPP'!$A$9:$BN$9,1),FALSE),0)+IFERROR(VLOOKUP($B20,'RA7-Mine Infrastructure Area'!$A$11:$BN$18,MATCH(Summary!BJ$1,'RA7-Mine Infrastructure Area'!$A$9:$BN$9,1),FALSE),0)+IFERROR(VLOOKUP($B20,'RA8-Water Management Structures'!$A$11:$BN$18,MATCH(Summary!BJ$1,'RA8-Water Management Structures'!$A$9:$BN$9,1),FALSE),0)+IFERROR(VLOOKUP($B20,'RA9-Codisposal Upper'!$A$11:$BN$18,MATCH(Summary!BJ$1,'RA9-Codisposal Upper'!$A$9:$BN$9,1),FALSE),0)+IFERROR(VLOOKUP($B20,'RA10-Codisposal Slopes'!$A$11:$BN$18,MATCH(Summary!BJ$1,'RA10-Codisposal Slopes'!$A$9:$BN$9,1),FALSE),0)+IFERROR(VLOOKUP($B20,'IA1-Final Void inc Ramps'!$A$11:$BN$18,MATCH(Summary!BJ$1,'IA1-Final Void inc Ramps'!$A$9:$BN$9,1),FALSE),0)</f>
        <v>1331.3999999999999</v>
      </c>
      <c r="BK20" s="47">
        <f>IFERROR(VLOOKUP($B20,'RA1- Elevated Dumps Upper'!$A$11:$BN$18,MATCH(Summary!BK$1,'RA1- Elevated Dumps Upper'!$A$9:$BN$9,1),FALSE),0)+IFERROR(VLOOKUP($B20,'RA2-Elevated Dumps Slopes'!$A$11:$BN$18,MATCH(Summary!BK$1,'RA2-Elevated Dumps Slopes'!$A$9:$BN$9,1),FALSE),0)+IFERROR(VLOOKUP($B20,'RA3-Backfilled Pits'!$A$11:$BN$18,MATCH(Summary!BK$1,'RA3-Backfilled Pits'!$A$9:$BN$9,1),FALSE),0)+IFERROR(VLOOKUP($B20,'RA4-Tracks_Roads'!$A$11:$BN$18,MATCH(Summary!BK$1,'RA4-Tracks_Roads'!$A$9:$BN$9,1),FALSE),0)+IFERROR(VLOOKUP($B20,'RA5-ROM'!$A$11:$BN$18,MATCH(Summary!BK$1,'RA5-ROM'!$A$9:$BN$9,1),FALSE),0)+IFERROR(VLOOKUP($B20,'RA6-CHPP'!$A$11:$BN$18,MATCH(Summary!BK$1,'RA6-CHPP'!$A$9:$BN$9,1),FALSE),0)+IFERROR(VLOOKUP($B20,'RA7-Mine Infrastructure Area'!$A$11:$BN$18,MATCH(Summary!BK$1,'RA7-Mine Infrastructure Area'!$A$9:$BN$9,1),FALSE),0)+IFERROR(VLOOKUP($B20,'RA8-Water Management Structures'!$A$11:$BN$18,MATCH(Summary!BK$1,'RA8-Water Management Structures'!$A$9:$BN$9,1),FALSE),0)+IFERROR(VLOOKUP($B20,'RA9-Codisposal Upper'!$A$11:$BN$18,MATCH(Summary!BK$1,'RA9-Codisposal Upper'!$A$9:$BN$9,1),FALSE),0)+IFERROR(VLOOKUP($B20,'RA10-Codisposal Slopes'!$A$11:$BN$18,MATCH(Summary!BK$1,'RA10-Codisposal Slopes'!$A$9:$BN$9,1),FALSE),0)+IFERROR(VLOOKUP($B20,'IA1-Final Void inc Ramps'!$A$11:$BN$18,MATCH(Summary!BK$1,'IA1-Final Void inc Ramps'!$A$9:$BN$9,1),FALSE),0)</f>
        <v>1331.3999999999999</v>
      </c>
      <c r="BL20" s="47">
        <f>IFERROR(VLOOKUP($B20,'RA1- Elevated Dumps Upper'!$A$11:$BN$18,MATCH(Summary!BL$1,'RA1- Elevated Dumps Upper'!$A$9:$BN$9,1),FALSE),0)+IFERROR(VLOOKUP($B20,'RA2-Elevated Dumps Slopes'!$A$11:$BN$18,MATCH(Summary!BL$1,'RA2-Elevated Dumps Slopes'!$A$9:$BN$9,1),FALSE),0)+IFERROR(VLOOKUP($B20,'RA3-Backfilled Pits'!$A$11:$BN$18,MATCH(Summary!BL$1,'RA3-Backfilled Pits'!$A$9:$BN$9,1),FALSE),0)+IFERROR(VLOOKUP($B20,'RA4-Tracks_Roads'!$A$11:$BN$18,MATCH(Summary!BL$1,'RA4-Tracks_Roads'!$A$9:$BN$9,1),FALSE),0)+IFERROR(VLOOKUP($B20,'RA5-ROM'!$A$11:$BN$18,MATCH(Summary!BL$1,'RA5-ROM'!$A$9:$BN$9,1),FALSE),0)+IFERROR(VLOOKUP($B20,'RA6-CHPP'!$A$11:$BN$18,MATCH(Summary!BL$1,'RA6-CHPP'!$A$9:$BN$9,1),FALSE),0)+IFERROR(VLOOKUP($B20,'RA7-Mine Infrastructure Area'!$A$11:$BN$18,MATCH(Summary!BL$1,'RA7-Mine Infrastructure Area'!$A$9:$BN$9,1),FALSE),0)+IFERROR(VLOOKUP($B20,'RA8-Water Management Structures'!$A$11:$BN$18,MATCH(Summary!BL$1,'RA8-Water Management Structures'!$A$9:$BN$9,1),FALSE),0)+IFERROR(VLOOKUP($B20,'RA9-Codisposal Upper'!$A$11:$BN$18,MATCH(Summary!BL$1,'RA9-Codisposal Upper'!$A$9:$BN$9,1),FALSE),0)+IFERROR(VLOOKUP($B20,'RA10-Codisposal Slopes'!$A$11:$BN$18,MATCH(Summary!BL$1,'RA10-Codisposal Slopes'!$A$9:$BN$9,1),FALSE),0)+IFERROR(VLOOKUP($B20,'IA1-Final Void inc Ramps'!$A$11:$BN$18,MATCH(Summary!BL$1,'IA1-Final Void inc Ramps'!$A$9:$BN$9,1),FALSE),0)</f>
        <v>1331.3999999999999</v>
      </c>
      <c r="BM20" s="47">
        <f>IFERROR(VLOOKUP($B20,'RA1- Elevated Dumps Upper'!$A$11:$BN$18,MATCH(Summary!BM$1,'RA1- Elevated Dumps Upper'!$A$9:$BN$9,1),FALSE),0)+IFERROR(VLOOKUP($B20,'RA2-Elevated Dumps Slopes'!$A$11:$BN$18,MATCH(Summary!BM$1,'RA2-Elevated Dumps Slopes'!$A$9:$BN$9,1),FALSE),0)+IFERROR(VLOOKUP($B20,'RA3-Backfilled Pits'!$A$11:$BN$18,MATCH(Summary!BM$1,'RA3-Backfilled Pits'!$A$9:$BN$9,1),FALSE),0)+IFERROR(VLOOKUP($B20,'RA4-Tracks_Roads'!$A$11:$BN$18,MATCH(Summary!BM$1,'RA4-Tracks_Roads'!$A$9:$BN$9,1),FALSE),0)+IFERROR(VLOOKUP($B20,'RA5-ROM'!$A$11:$BN$18,MATCH(Summary!BM$1,'RA5-ROM'!$A$9:$BN$9,1),FALSE),0)+IFERROR(VLOOKUP($B20,'RA6-CHPP'!$A$11:$BN$18,MATCH(Summary!BM$1,'RA6-CHPP'!$A$9:$BN$9,1),FALSE),0)+IFERROR(VLOOKUP($B20,'RA7-Mine Infrastructure Area'!$A$11:$BN$18,MATCH(Summary!BM$1,'RA7-Mine Infrastructure Area'!$A$9:$BN$9,1),FALSE),0)+IFERROR(VLOOKUP($B20,'RA8-Water Management Structures'!$A$11:$BN$18,MATCH(Summary!BM$1,'RA8-Water Management Structures'!$A$9:$BN$9,1),FALSE),0)+IFERROR(VLOOKUP($B20,'RA9-Codisposal Upper'!$A$11:$BN$18,MATCH(Summary!BM$1,'RA9-Codisposal Upper'!$A$9:$BN$9,1),FALSE),0)+IFERROR(VLOOKUP($B20,'RA10-Codisposal Slopes'!$A$11:$BN$18,MATCH(Summary!BM$1,'RA10-Codisposal Slopes'!$A$9:$BN$9,1),FALSE),0)+IFERROR(VLOOKUP($B20,'IA1-Final Void inc Ramps'!$A$11:$BN$18,MATCH(Summary!BM$1,'IA1-Final Void inc Ramps'!$A$9:$BN$9,1),FALSE),0)</f>
        <v>1331.3999999999999</v>
      </c>
      <c r="BN20" s="47">
        <f>IFERROR(VLOOKUP($B20,'RA1- Elevated Dumps Upper'!$A$11:$BN$18,MATCH(Summary!BN$1,'RA1- Elevated Dumps Upper'!$A$9:$BN$9,1),FALSE),0)+IFERROR(VLOOKUP($B20,'RA2-Elevated Dumps Slopes'!$A$11:$BN$18,MATCH(Summary!BN$1,'RA2-Elevated Dumps Slopes'!$A$9:$BN$9,1),FALSE),0)+IFERROR(VLOOKUP($B20,'RA3-Backfilled Pits'!$A$11:$BN$18,MATCH(Summary!BN$1,'RA3-Backfilled Pits'!$A$9:$BN$9,1),FALSE),0)+IFERROR(VLOOKUP($B20,'RA4-Tracks_Roads'!$A$11:$BN$18,MATCH(Summary!BN$1,'RA4-Tracks_Roads'!$A$9:$BN$9,1),FALSE),0)+IFERROR(VLOOKUP($B20,'RA5-ROM'!$A$11:$BN$18,MATCH(Summary!BN$1,'RA5-ROM'!$A$9:$BN$9,1),FALSE),0)+IFERROR(VLOOKUP($B20,'RA6-CHPP'!$A$11:$BN$18,MATCH(Summary!BN$1,'RA6-CHPP'!$A$9:$BN$9,1),FALSE),0)+IFERROR(VLOOKUP($B20,'RA7-Mine Infrastructure Area'!$A$11:$BN$18,MATCH(Summary!BN$1,'RA7-Mine Infrastructure Area'!$A$9:$BN$9,1),FALSE),0)+IFERROR(VLOOKUP($B20,'RA8-Water Management Structures'!$A$11:$BN$18,MATCH(Summary!BN$1,'RA8-Water Management Structures'!$A$9:$BN$9,1),FALSE),0)+IFERROR(VLOOKUP($B20,'RA9-Codisposal Upper'!$A$11:$BN$18,MATCH(Summary!BN$1,'RA9-Codisposal Upper'!$A$9:$BN$9,1),FALSE),0)+IFERROR(VLOOKUP($B20,'RA10-Codisposal Slopes'!$A$11:$BN$18,MATCH(Summary!BN$1,'RA10-Codisposal Slopes'!$A$9:$BN$9,1),FALSE),0)+IFERROR(VLOOKUP($B20,'IA1-Final Void inc Ramps'!$A$11:$BN$18,MATCH(Summary!BN$1,'IA1-Final Void inc Ramps'!$A$9:$BN$9,1),FALSE),0)</f>
        <v>1331.3999999999999</v>
      </c>
    </row>
    <row r="21" spans="1:66" x14ac:dyDescent="0.35">
      <c r="B21" t="s">
        <v>34</v>
      </c>
      <c r="D21" s="47">
        <f>IFERROR(VLOOKUP($B21,'RA1- Elevated Dumps Upper'!$A$11:$BN$18,MATCH(Summary!D$1,'RA1- Elevated Dumps Upper'!$A$9:$BN$9,1),FALSE),0)+IFERROR(VLOOKUP($B21,'RA2-Elevated Dumps Slopes'!$A$11:$BN$18,MATCH(Summary!D$1,'RA2-Elevated Dumps Slopes'!$A$9:$BN$9,1),FALSE),0)+IFERROR(VLOOKUP($B21,'RA3-Backfilled Pits'!$A$11:$BN$18,MATCH(Summary!D$1,'RA3-Backfilled Pits'!$A$9:$BN$9,1),FALSE),0)+IFERROR(VLOOKUP($B21,'RA4-Tracks_Roads'!$A$11:$BN$18,MATCH(Summary!D$1,'RA4-Tracks_Roads'!$A$9:$BN$9,1),FALSE),0)+IFERROR(VLOOKUP($B21,'RA5-ROM'!$A$11:$BN$18,MATCH(Summary!D$1,'RA5-ROM'!$A$9:$BN$9,1),FALSE),0)+IFERROR(VLOOKUP($B21,'RA6-CHPP'!$A$11:$BN$18,MATCH(Summary!D$1,'RA6-CHPP'!$A$9:$BN$9,1),FALSE),0)+IFERROR(VLOOKUP($B21,'RA7-Mine Infrastructure Area'!$A$11:$BN$18,MATCH(Summary!D$1,'RA7-Mine Infrastructure Area'!$A$9:$BN$9,1),FALSE),0)+IFERROR(VLOOKUP($B21,'RA8-Water Management Structures'!$A$11:$BN$18,MATCH(Summary!D$1,'RA8-Water Management Structures'!$A$9:$BN$9,1),FALSE),0)+IFERROR(VLOOKUP($B21,'RA9-Codisposal Upper'!$A$11:$BN$18,MATCH(Summary!D$1,'RA9-Codisposal Upper'!$A$9:$BN$9,1),FALSE),0)+IFERROR(VLOOKUP($B21,'RA10-Codisposal Slopes'!$A$11:$BN$18,MATCH(Summary!D$1,'RA10-Codisposal Slopes'!$A$9:$BN$9,1),FALSE),0)+IFERROR(VLOOKUP($B21,'IA1-Final Void inc Ramps'!$A$11:$BN$18,MATCH(Summary!D$1,'IA1-Final Void inc Ramps'!$A$9:$BN$9,1),FALSE),0)</f>
        <v>0</v>
      </c>
      <c r="E21" s="47">
        <f>IFERROR(VLOOKUP($B21,'RA1- Elevated Dumps Upper'!$A$11:$BN$18,MATCH(Summary!E$1,'RA1- Elevated Dumps Upper'!$A$9:$BN$9,1),FALSE),0)+IFERROR(VLOOKUP($B21,'RA2-Elevated Dumps Slopes'!$A$11:$BN$18,MATCH(Summary!E$1,'RA2-Elevated Dumps Slopes'!$A$9:$BN$9,1),FALSE),0)+IFERROR(VLOOKUP($B21,'RA3-Backfilled Pits'!$A$11:$BN$18,MATCH(Summary!E$1,'RA3-Backfilled Pits'!$A$9:$BN$9,1),FALSE),0)+IFERROR(VLOOKUP($B21,'RA4-Tracks_Roads'!$A$11:$BN$18,MATCH(Summary!E$1,'RA4-Tracks_Roads'!$A$9:$BN$9,1),FALSE),0)+IFERROR(VLOOKUP($B21,'RA5-ROM'!$A$11:$BN$18,MATCH(Summary!E$1,'RA5-ROM'!$A$9:$BN$9,1),FALSE),0)+IFERROR(VLOOKUP($B21,'RA6-CHPP'!$A$11:$BN$18,MATCH(Summary!E$1,'RA6-CHPP'!$A$9:$BN$9,1),FALSE),0)+IFERROR(VLOOKUP($B21,'RA7-Mine Infrastructure Area'!$A$11:$BN$18,MATCH(Summary!E$1,'RA7-Mine Infrastructure Area'!$A$9:$BN$9,1),FALSE),0)+IFERROR(VLOOKUP($B21,'RA8-Water Management Structures'!$A$11:$BN$18,MATCH(Summary!E$1,'RA8-Water Management Structures'!$A$9:$BN$9,1),FALSE),0)+IFERROR(VLOOKUP($B21,'RA9-Codisposal Upper'!$A$11:$BN$18,MATCH(Summary!E$1,'RA9-Codisposal Upper'!$A$9:$BN$9,1),FALSE),0)+IFERROR(VLOOKUP($B21,'RA10-Codisposal Slopes'!$A$11:$BN$18,MATCH(Summary!E$1,'RA10-Codisposal Slopes'!$A$9:$BN$9,1),FALSE),0)+IFERROR(VLOOKUP($B21,'IA1-Final Void inc Ramps'!$A$11:$BN$18,MATCH(Summary!E$1,'IA1-Final Void inc Ramps'!$A$9:$BN$9,1),FALSE),0)</f>
        <v>0</v>
      </c>
      <c r="F21" s="47">
        <f>IFERROR(VLOOKUP($B21,'RA1- Elevated Dumps Upper'!$A$11:$BN$18,MATCH(Summary!F$1,'RA1- Elevated Dumps Upper'!$A$9:$BN$9,1),FALSE),0)+IFERROR(VLOOKUP($B21,'RA2-Elevated Dumps Slopes'!$A$11:$BN$18,MATCH(Summary!F$1,'RA2-Elevated Dumps Slopes'!$A$9:$BN$9,1),FALSE),0)+IFERROR(VLOOKUP($B21,'RA3-Backfilled Pits'!$A$11:$BN$18,MATCH(Summary!F$1,'RA3-Backfilled Pits'!$A$9:$BN$9,1),FALSE),0)+IFERROR(VLOOKUP($B21,'RA4-Tracks_Roads'!$A$11:$BN$18,MATCH(Summary!F$1,'RA4-Tracks_Roads'!$A$9:$BN$9,1),FALSE),0)+IFERROR(VLOOKUP($B21,'RA5-ROM'!$A$11:$BN$18,MATCH(Summary!F$1,'RA5-ROM'!$A$9:$BN$9,1),FALSE),0)+IFERROR(VLOOKUP($B21,'RA6-CHPP'!$A$11:$BN$18,MATCH(Summary!F$1,'RA6-CHPP'!$A$9:$BN$9,1),FALSE),0)+IFERROR(VLOOKUP($B21,'RA7-Mine Infrastructure Area'!$A$11:$BN$18,MATCH(Summary!F$1,'RA7-Mine Infrastructure Area'!$A$9:$BN$9,1),FALSE),0)+IFERROR(VLOOKUP($B21,'RA8-Water Management Structures'!$A$11:$BN$18,MATCH(Summary!F$1,'RA8-Water Management Structures'!$A$9:$BN$9,1),FALSE),0)+IFERROR(VLOOKUP($B21,'RA9-Codisposal Upper'!$A$11:$BN$18,MATCH(Summary!F$1,'RA9-Codisposal Upper'!$A$9:$BN$9,1),FALSE),0)+IFERROR(VLOOKUP($B21,'RA10-Codisposal Slopes'!$A$11:$BN$18,MATCH(Summary!F$1,'RA10-Codisposal Slopes'!$A$9:$BN$9,1),FALSE),0)+IFERROR(VLOOKUP($B21,'IA1-Final Void inc Ramps'!$A$11:$BN$18,MATCH(Summary!F$1,'IA1-Final Void inc Ramps'!$A$9:$BN$9,1),FALSE),0)</f>
        <v>0</v>
      </c>
      <c r="G21" s="47">
        <f>IFERROR(VLOOKUP($B21,'RA1- Elevated Dumps Upper'!$A$11:$BN$18,MATCH(Summary!G$1,'RA1- Elevated Dumps Upper'!$A$9:$BN$9,1),FALSE),0)+IFERROR(VLOOKUP($B21,'RA2-Elevated Dumps Slopes'!$A$11:$BN$18,MATCH(Summary!G$1,'RA2-Elevated Dumps Slopes'!$A$9:$BN$9,1),FALSE),0)+IFERROR(VLOOKUP($B21,'RA3-Backfilled Pits'!$A$11:$BN$18,MATCH(Summary!G$1,'RA3-Backfilled Pits'!$A$9:$BN$9,1),FALSE),0)+IFERROR(VLOOKUP($B21,'RA4-Tracks_Roads'!$A$11:$BN$18,MATCH(Summary!G$1,'RA4-Tracks_Roads'!$A$9:$BN$9,1),FALSE),0)+IFERROR(VLOOKUP($B21,'RA5-ROM'!$A$11:$BN$18,MATCH(Summary!G$1,'RA5-ROM'!$A$9:$BN$9,1),FALSE),0)+IFERROR(VLOOKUP($B21,'RA6-CHPP'!$A$11:$BN$18,MATCH(Summary!G$1,'RA6-CHPP'!$A$9:$BN$9,1),FALSE),0)+IFERROR(VLOOKUP($B21,'RA7-Mine Infrastructure Area'!$A$11:$BN$18,MATCH(Summary!G$1,'RA7-Mine Infrastructure Area'!$A$9:$BN$9,1),FALSE),0)+IFERROR(VLOOKUP($B21,'RA8-Water Management Structures'!$A$11:$BN$18,MATCH(Summary!G$1,'RA8-Water Management Structures'!$A$9:$BN$9,1),FALSE),0)+IFERROR(VLOOKUP($B21,'RA9-Codisposal Upper'!$A$11:$BN$18,MATCH(Summary!G$1,'RA9-Codisposal Upper'!$A$9:$BN$9,1),FALSE),0)+IFERROR(VLOOKUP($B21,'RA10-Codisposal Slopes'!$A$11:$BN$18,MATCH(Summary!G$1,'RA10-Codisposal Slopes'!$A$9:$BN$9,1),FALSE),0)+IFERROR(VLOOKUP($B21,'IA1-Final Void inc Ramps'!$A$11:$BN$18,MATCH(Summary!G$1,'IA1-Final Void inc Ramps'!$A$9:$BN$9,1),FALSE),0)</f>
        <v>0</v>
      </c>
      <c r="H21" s="47">
        <f>IFERROR(VLOOKUP($B21,'RA1- Elevated Dumps Upper'!$A$11:$BN$18,MATCH(Summary!H$1,'RA1- Elevated Dumps Upper'!$A$9:$BN$9,1),FALSE),0)+IFERROR(VLOOKUP($B21,'RA2-Elevated Dumps Slopes'!$A$11:$BN$18,MATCH(Summary!H$1,'RA2-Elevated Dumps Slopes'!$A$9:$BN$9,1),FALSE),0)+IFERROR(VLOOKUP($B21,'RA3-Backfilled Pits'!$A$11:$BN$18,MATCH(Summary!H$1,'RA3-Backfilled Pits'!$A$9:$BN$9,1),FALSE),0)+IFERROR(VLOOKUP($B21,'RA4-Tracks_Roads'!$A$11:$BN$18,MATCH(Summary!H$1,'RA4-Tracks_Roads'!$A$9:$BN$9,1),FALSE),0)+IFERROR(VLOOKUP($B21,'RA5-ROM'!$A$11:$BN$18,MATCH(Summary!H$1,'RA5-ROM'!$A$9:$BN$9,1),FALSE),0)+IFERROR(VLOOKUP($B21,'RA6-CHPP'!$A$11:$BN$18,MATCH(Summary!H$1,'RA6-CHPP'!$A$9:$BN$9,1),FALSE),0)+IFERROR(VLOOKUP($B21,'RA7-Mine Infrastructure Area'!$A$11:$BN$18,MATCH(Summary!H$1,'RA7-Mine Infrastructure Area'!$A$9:$BN$9,1),FALSE),0)+IFERROR(VLOOKUP($B21,'RA8-Water Management Structures'!$A$11:$BN$18,MATCH(Summary!H$1,'RA8-Water Management Structures'!$A$9:$BN$9,1),FALSE),0)+IFERROR(VLOOKUP($B21,'RA9-Codisposal Upper'!$A$11:$BN$18,MATCH(Summary!H$1,'RA9-Codisposal Upper'!$A$9:$BN$9,1),FALSE),0)+IFERROR(VLOOKUP($B21,'RA10-Codisposal Slopes'!$A$11:$BN$18,MATCH(Summary!H$1,'RA10-Codisposal Slopes'!$A$9:$BN$9,1),FALSE),0)+IFERROR(VLOOKUP($B21,'IA1-Final Void inc Ramps'!$A$11:$BN$18,MATCH(Summary!H$1,'IA1-Final Void inc Ramps'!$A$9:$BN$9,1),FALSE),0)</f>
        <v>0</v>
      </c>
      <c r="I21" s="47">
        <f>IFERROR(VLOOKUP($B21,'RA1- Elevated Dumps Upper'!$A$11:$BN$18,MATCH(Summary!I$1,'RA1- Elevated Dumps Upper'!$A$9:$BN$9,1),FALSE),0)+IFERROR(VLOOKUP($B21,'RA2-Elevated Dumps Slopes'!$A$11:$BN$18,MATCH(Summary!I$1,'RA2-Elevated Dumps Slopes'!$A$9:$BN$9,1),FALSE),0)+IFERROR(VLOOKUP($B21,'RA3-Backfilled Pits'!$A$11:$BN$18,MATCH(Summary!I$1,'RA3-Backfilled Pits'!$A$9:$BN$9,1),FALSE),0)+IFERROR(VLOOKUP($B21,'RA4-Tracks_Roads'!$A$11:$BN$18,MATCH(Summary!I$1,'RA4-Tracks_Roads'!$A$9:$BN$9,1),FALSE),0)+IFERROR(VLOOKUP($B21,'RA5-ROM'!$A$11:$BN$18,MATCH(Summary!I$1,'RA5-ROM'!$A$9:$BN$9,1),FALSE),0)+IFERROR(VLOOKUP($B21,'RA6-CHPP'!$A$11:$BN$18,MATCH(Summary!I$1,'RA6-CHPP'!$A$9:$BN$9,1),FALSE),0)+IFERROR(VLOOKUP($B21,'RA7-Mine Infrastructure Area'!$A$11:$BN$18,MATCH(Summary!I$1,'RA7-Mine Infrastructure Area'!$A$9:$BN$9,1),FALSE),0)+IFERROR(VLOOKUP($B21,'RA8-Water Management Structures'!$A$11:$BN$18,MATCH(Summary!I$1,'RA8-Water Management Structures'!$A$9:$BN$9,1),FALSE),0)+IFERROR(VLOOKUP($B21,'RA9-Codisposal Upper'!$A$11:$BN$18,MATCH(Summary!I$1,'RA9-Codisposal Upper'!$A$9:$BN$9,1),FALSE),0)+IFERROR(VLOOKUP($B21,'RA10-Codisposal Slopes'!$A$11:$BN$18,MATCH(Summary!I$1,'RA10-Codisposal Slopes'!$A$9:$BN$9,1),FALSE),0)+IFERROR(VLOOKUP($B21,'IA1-Final Void inc Ramps'!$A$11:$BN$18,MATCH(Summary!I$1,'IA1-Final Void inc Ramps'!$A$9:$BN$9,1),FALSE),0)</f>
        <v>0</v>
      </c>
      <c r="J21" s="47">
        <f>IFERROR(VLOOKUP($B21,'RA1- Elevated Dumps Upper'!$A$11:$BN$18,MATCH(Summary!J$1,'RA1- Elevated Dumps Upper'!$A$9:$BN$9,1),FALSE),0)+IFERROR(VLOOKUP($B21,'RA2-Elevated Dumps Slopes'!$A$11:$BN$18,MATCH(Summary!J$1,'RA2-Elevated Dumps Slopes'!$A$9:$BN$9,1),FALSE),0)+IFERROR(VLOOKUP($B21,'RA3-Backfilled Pits'!$A$11:$BN$18,MATCH(Summary!J$1,'RA3-Backfilled Pits'!$A$9:$BN$9,1),FALSE),0)+IFERROR(VLOOKUP($B21,'RA4-Tracks_Roads'!$A$11:$BN$18,MATCH(Summary!J$1,'RA4-Tracks_Roads'!$A$9:$BN$9,1),FALSE),0)+IFERROR(VLOOKUP($B21,'RA5-ROM'!$A$11:$BN$18,MATCH(Summary!J$1,'RA5-ROM'!$A$9:$BN$9,1),FALSE),0)+IFERROR(VLOOKUP($B21,'RA6-CHPP'!$A$11:$BN$18,MATCH(Summary!J$1,'RA6-CHPP'!$A$9:$BN$9,1),FALSE),0)+IFERROR(VLOOKUP($B21,'RA7-Mine Infrastructure Area'!$A$11:$BN$18,MATCH(Summary!J$1,'RA7-Mine Infrastructure Area'!$A$9:$BN$9,1),FALSE),0)+IFERROR(VLOOKUP($B21,'RA8-Water Management Structures'!$A$11:$BN$18,MATCH(Summary!J$1,'RA8-Water Management Structures'!$A$9:$BN$9,1),FALSE),0)+IFERROR(VLOOKUP($B21,'RA9-Codisposal Upper'!$A$11:$BN$18,MATCH(Summary!J$1,'RA9-Codisposal Upper'!$A$9:$BN$9,1),FALSE),0)+IFERROR(VLOOKUP($B21,'RA10-Codisposal Slopes'!$A$11:$BN$18,MATCH(Summary!J$1,'RA10-Codisposal Slopes'!$A$9:$BN$9,1),FALSE),0)+IFERROR(VLOOKUP($B21,'IA1-Final Void inc Ramps'!$A$11:$BN$18,MATCH(Summary!J$1,'IA1-Final Void inc Ramps'!$A$9:$BN$9,1),FALSE),0)</f>
        <v>0</v>
      </c>
      <c r="K21" s="47">
        <f>IFERROR(VLOOKUP($B21,'RA1- Elevated Dumps Upper'!$A$11:$BN$18,MATCH(Summary!K$1,'RA1- Elevated Dumps Upper'!$A$9:$BN$9,1),FALSE),0)+IFERROR(VLOOKUP($B21,'RA2-Elevated Dumps Slopes'!$A$11:$BN$18,MATCH(Summary!K$1,'RA2-Elevated Dumps Slopes'!$A$9:$BN$9,1),FALSE),0)+IFERROR(VLOOKUP($B21,'RA3-Backfilled Pits'!$A$11:$BN$18,MATCH(Summary!K$1,'RA3-Backfilled Pits'!$A$9:$BN$9,1),FALSE),0)+IFERROR(VLOOKUP($B21,'RA4-Tracks_Roads'!$A$11:$BN$18,MATCH(Summary!K$1,'RA4-Tracks_Roads'!$A$9:$BN$9,1),FALSE),0)+IFERROR(VLOOKUP($B21,'RA5-ROM'!$A$11:$BN$18,MATCH(Summary!K$1,'RA5-ROM'!$A$9:$BN$9,1),FALSE),0)+IFERROR(VLOOKUP($B21,'RA6-CHPP'!$A$11:$BN$18,MATCH(Summary!K$1,'RA6-CHPP'!$A$9:$BN$9,1),FALSE),0)+IFERROR(VLOOKUP($B21,'RA7-Mine Infrastructure Area'!$A$11:$BN$18,MATCH(Summary!K$1,'RA7-Mine Infrastructure Area'!$A$9:$BN$9,1),FALSE),0)+IFERROR(VLOOKUP($B21,'RA8-Water Management Structures'!$A$11:$BN$18,MATCH(Summary!K$1,'RA8-Water Management Structures'!$A$9:$BN$9,1),FALSE),0)+IFERROR(VLOOKUP($B21,'RA9-Codisposal Upper'!$A$11:$BN$18,MATCH(Summary!K$1,'RA9-Codisposal Upper'!$A$9:$BN$9,1),FALSE),0)+IFERROR(VLOOKUP($B21,'RA10-Codisposal Slopes'!$A$11:$BN$18,MATCH(Summary!K$1,'RA10-Codisposal Slopes'!$A$9:$BN$9,1),FALSE),0)+IFERROR(VLOOKUP($B21,'IA1-Final Void inc Ramps'!$A$11:$BN$18,MATCH(Summary!K$1,'IA1-Final Void inc Ramps'!$A$9:$BN$9,1),FALSE),0)</f>
        <v>0</v>
      </c>
      <c r="L21" s="47">
        <f>IFERROR(VLOOKUP($B21,'RA1- Elevated Dumps Upper'!$A$11:$BN$18,MATCH(Summary!L$1,'RA1- Elevated Dumps Upper'!$A$9:$BN$9,1),FALSE),0)+IFERROR(VLOOKUP($B21,'RA2-Elevated Dumps Slopes'!$A$11:$BN$18,MATCH(Summary!L$1,'RA2-Elevated Dumps Slopes'!$A$9:$BN$9,1),FALSE),0)+IFERROR(VLOOKUP($B21,'RA3-Backfilled Pits'!$A$11:$BN$18,MATCH(Summary!L$1,'RA3-Backfilled Pits'!$A$9:$BN$9,1),FALSE),0)+IFERROR(VLOOKUP($B21,'RA4-Tracks_Roads'!$A$11:$BN$18,MATCH(Summary!L$1,'RA4-Tracks_Roads'!$A$9:$BN$9,1),FALSE),0)+IFERROR(VLOOKUP($B21,'RA5-ROM'!$A$11:$BN$18,MATCH(Summary!L$1,'RA5-ROM'!$A$9:$BN$9,1),FALSE),0)+IFERROR(VLOOKUP($B21,'RA6-CHPP'!$A$11:$BN$18,MATCH(Summary!L$1,'RA6-CHPP'!$A$9:$BN$9,1),FALSE),0)+IFERROR(VLOOKUP($B21,'RA7-Mine Infrastructure Area'!$A$11:$BN$18,MATCH(Summary!L$1,'RA7-Mine Infrastructure Area'!$A$9:$BN$9,1),FALSE),0)+IFERROR(VLOOKUP($B21,'RA8-Water Management Structures'!$A$11:$BN$18,MATCH(Summary!L$1,'RA8-Water Management Structures'!$A$9:$BN$9,1),FALSE),0)+IFERROR(VLOOKUP($B21,'RA9-Codisposal Upper'!$A$11:$BN$18,MATCH(Summary!L$1,'RA9-Codisposal Upper'!$A$9:$BN$9,1),FALSE),0)+IFERROR(VLOOKUP($B21,'RA10-Codisposal Slopes'!$A$11:$BN$18,MATCH(Summary!L$1,'RA10-Codisposal Slopes'!$A$9:$BN$9,1),FALSE),0)+IFERROR(VLOOKUP($B21,'IA1-Final Void inc Ramps'!$A$11:$BN$18,MATCH(Summary!L$1,'IA1-Final Void inc Ramps'!$A$9:$BN$9,1),FALSE),0)</f>
        <v>0</v>
      </c>
      <c r="M21" s="47">
        <f>IFERROR(VLOOKUP($B21,'RA1- Elevated Dumps Upper'!$A$11:$BN$18,MATCH(Summary!M$1,'RA1- Elevated Dumps Upper'!$A$9:$BN$9,1),FALSE),0)+IFERROR(VLOOKUP($B21,'RA2-Elevated Dumps Slopes'!$A$11:$BN$18,MATCH(Summary!M$1,'RA2-Elevated Dumps Slopes'!$A$9:$BN$9,1),FALSE),0)+IFERROR(VLOOKUP($B21,'RA3-Backfilled Pits'!$A$11:$BN$18,MATCH(Summary!M$1,'RA3-Backfilled Pits'!$A$9:$BN$9,1),FALSE),0)+IFERROR(VLOOKUP($B21,'RA4-Tracks_Roads'!$A$11:$BN$18,MATCH(Summary!M$1,'RA4-Tracks_Roads'!$A$9:$BN$9,1),FALSE),0)+IFERROR(VLOOKUP($B21,'RA5-ROM'!$A$11:$BN$18,MATCH(Summary!M$1,'RA5-ROM'!$A$9:$BN$9,1),FALSE),0)+IFERROR(VLOOKUP($B21,'RA6-CHPP'!$A$11:$BN$18,MATCH(Summary!M$1,'RA6-CHPP'!$A$9:$BN$9,1),FALSE),0)+IFERROR(VLOOKUP($B21,'RA7-Mine Infrastructure Area'!$A$11:$BN$18,MATCH(Summary!M$1,'RA7-Mine Infrastructure Area'!$A$9:$BN$9,1),FALSE),0)+IFERROR(VLOOKUP($B21,'RA8-Water Management Structures'!$A$11:$BN$18,MATCH(Summary!M$1,'RA8-Water Management Structures'!$A$9:$BN$9,1),FALSE),0)+IFERROR(VLOOKUP($B21,'RA9-Codisposal Upper'!$A$11:$BN$18,MATCH(Summary!M$1,'RA9-Codisposal Upper'!$A$9:$BN$9,1),FALSE),0)+IFERROR(VLOOKUP($B21,'RA10-Codisposal Slopes'!$A$11:$BN$18,MATCH(Summary!M$1,'RA10-Codisposal Slopes'!$A$9:$BN$9,1),FALSE),0)+IFERROR(VLOOKUP($B21,'IA1-Final Void inc Ramps'!$A$11:$BN$18,MATCH(Summary!M$1,'IA1-Final Void inc Ramps'!$A$9:$BN$9,1),FALSE),0)</f>
        <v>0</v>
      </c>
      <c r="N21" s="47">
        <f>IFERROR(VLOOKUP($B21,'RA1- Elevated Dumps Upper'!$A$11:$BN$18,MATCH(Summary!N$1,'RA1- Elevated Dumps Upper'!$A$9:$BN$9,1),FALSE),0)+IFERROR(VLOOKUP($B21,'RA2-Elevated Dumps Slopes'!$A$11:$BN$18,MATCH(Summary!N$1,'RA2-Elevated Dumps Slopes'!$A$9:$BN$9,1),FALSE),0)+IFERROR(VLOOKUP($B21,'RA3-Backfilled Pits'!$A$11:$BN$18,MATCH(Summary!N$1,'RA3-Backfilled Pits'!$A$9:$BN$9,1),FALSE),0)+IFERROR(VLOOKUP($B21,'RA4-Tracks_Roads'!$A$11:$BN$18,MATCH(Summary!N$1,'RA4-Tracks_Roads'!$A$9:$BN$9,1),FALSE),0)+IFERROR(VLOOKUP($B21,'RA5-ROM'!$A$11:$BN$18,MATCH(Summary!N$1,'RA5-ROM'!$A$9:$BN$9,1),FALSE),0)+IFERROR(VLOOKUP($B21,'RA6-CHPP'!$A$11:$BN$18,MATCH(Summary!N$1,'RA6-CHPP'!$A$9:$BN$9,1),FALSE),0)+IFERROR(VLOOKUP($B21,'RA7-Mine Infrastructure Area'!$A$11:$BN$18,MATCH(Summary!N$1,'RA7-Mine Infrastructure Area'!$A$9:$BN$9,1),FALSE),0)+IFERROR(VLOOKUP($B21,'RA8-Water Management Structures'!$A$11:$BN$18,MATCH(Summary!N$1,'RA8-Water Management Structures'!$A$9:$BN$9,1),FALSE),0)+IFERROR(VLOOKUP($B21,'RA9-Codisposal Upper'!$A$11:$BN$18,MATCH(Summary!N$1,'RA9-Codisposal Upper'!$A$9:$BN$9,1),FALSE),0)+IFERROR(VLOOKUP($B21,'RA10-Codisposal Slopes'!$A$11:$BN$18,MATCH(Summary!N$1,'RA10-Codisposal Slopes'!$A$9:$BN$9,1),FALSE),0)+IFERROR(VLOOKUP($B21,'IA1-Final Void inc Ramps'!$A$11:$BN$18,MATCH(Summary!N$1,'IA1-Final Void inc Ramps'!$A$9:$BN$9,1),FALSE),0)</f>
        <v>0</v>
      </c>
      <c r="O21" s="47">
        <f>IFERROR(VLOOKUP($B21,'RA1- Elevated Dumps Upper'!$A$11:$BN$18,MATCH(Summary!O$1,'RA1- Elevated Dumps Upper'!$A$9:$BN$9,1),FALSE),0)+IFERROR(VLOOKUP($B21,'RA2-Elevated Dumps Slopes'!$A$11:$BN$18,MATCH(Summary!O$1,'RA2-Elevated Dumps Slopes'!$A$9:$BN$9,1),FALSE),0)+IFERROR(VLOOKUP($B21,'RA3-Backfilled Pits'!$A$11:$BN$18,MATCH(Summary!O$1,'RA3-Backfilled Pits'!$A$9:$BN$9,1),FALSE),0)+IFERROR(VLOOKUP($B21,'RA4-Tracks_Roads'!$A$11:$BN$18,MATCH(Summary!O$1,'RA4-Tracks_Roads'!$A$9:$BN$9,1),FALSE),0)+IFERROR(VLOOKUP($B21,'RA5-ROM'!$A$11:$BN$18,MATCH(Summary!O$1,'RA5-ROM'!$A$9:$BN$9,1),FALSE),0)+IFERROR(VLOOKUP($B21,'RA6-CHPP'!$A$11:$BN$18,MATCH(Summary!O$1,'RA6-CHPP'!$A$9:$BN$9,1),FALSE),0)+IFERROR(VLOOKUP($B21,'RA7-Mine Infrastructure Area'!$A$11:$BN$18,MATCH(Summary!O$1,'RA7-Mine Infrastructure Area'!$A$9:$BN$9,1),FALSE),0)+IFERROR(VLOOKUP($B21,'RA8-Water Management Structures'!$A$11:$BN$18,MATCH(Summary!O$1,'RA8-Water Management Structures'!$A$9:$BN$9,1),FALSE),0)+IFERROR(VLOOKUP($B21,'RA9-Codisposal Upper'!$A$11:$BN$18,MATCH(Summary!O$1,'RA9-Codisposal Upper'!$A$9:$BN$9,1),FALSE),0)+IFERROR(VLOOKUP($B21,'RA10-Codisposal Slopes'!$A$11:$BN$18,MATCH(Summary!O$1,'RA10-Codisposal Slopes'!$A$9:$BN$9,1),FALSE),0)+IFERROR(VLOOKUP($B21,'IA1-Final Void inc Ramps'!$A$11:$BN$18,MATCH(Summary!O$1,'IA1-Final Void inc Ramps'!$A$9:$BN$9,1),FALSE),0)</f>
        <v>0</v>
      </c>
      <c r="P21" s="47">
        <f>IFERROR(VLOOKUP($B21,'RA1- Elevated Dumps Upper'!$A$11:$BN$18,MATCH(Summary!P$1,'RA1- Elevated Dumps Upper'!$A$9:$BN$9,1),FALSE),0)+IFERROR(VLOOKUP($B21,'RA2-Elevated Dumps Slopes'!$A$11:$BN$18,MATCH(Summary!P$1,'RA2-Elevated Dumps Slopes'!$A$9:$BN$9,1),FALSE),0)+IFERROR(VLOOKUP($B21,'RA3-Backfilled Pits'!$A$11:$BN$18,MATCH(Summary!P$1,'RA3-Backfilled Pits'!$A$9:$BN$9,1),FALSE),0)+IFERROR(VLOOKUP($B21,'RA4-Tracks_Roads'!$A$11:$BN$18,MATCH(Summary!P$1,'RA4-Tracks_Roads'!$A$9:$BN$9,1),FALSE),0)+IFERROR(VLOOKUP($B21,'RA5-ROM'!$A$11:$BN$18,MATCH(Summary!P$1,'RA5-ROM'!$A$9:$BN$9,1),FALSE),0)+IFERROR(VLOOKUP($B21,'RA6-CHPP'!$A$11:$BN$18,MATCH(Summary!P$1,'RA6-CHPP'!$A$9:$BN$9,1),FALSE),0)+IFERROR(VLOOKUP($B21,'RA7-Mine Infrastructure Area'!$A$11:$BN$18,MATCH(Summary!P$1,'RA7-Mine Infrastructure Area'!$A$9:$BN$9,1),FALSE),0)+IFERROR(VLOOKUP($B21,'RA8-Water Management Structures'!$A$11:$BN$18,MATCH(Summary!P$1,'RA8-Water Management Structures'!$A$9:$BN$9,1),FALSE),0)+IFERROR(VLOOKUP($B21,'RA9-Codisposal Upper'!$A$11:$BN$18,MATCH(Summary!P$1,'RA9-Codisposal Upper'!$A$9:$BN$9,1),FALSE),0)+IFERROR(VLOOKUP($B21,'RA10-Codisposal Slopes'!$A$11:$BN$18,MATCH(Summary!P$1,'RA10-Codisposal Slopes'!$A$9:$BN$9,1),FALSE),0)+IFERROR(VLOOKUP($B21,'IA1-Final Void inc Ramps'!$A$11:$BN$18,MATCH(Summary!P$1,'IA1-Final Void inc Ramps'!$A$9:$BN$9,1),FALSE),0)</f>
        <v>0</v>
      </c>
      <c r="Q21" s="47">
        <f>IFERROR(VLOOKUP($B21,'RA1- Elevated Dumps Upper'!$A$11:$BN$18,MATCH(Summary!Q$1,'RA1- Elevated Dumps Upper'!$A$9:$BN$9,1),FALSE),0)+IFERROR(VLOOKUP($B21,'RA2-Elevated Dumps Slopes'!$A$11:$BN$18,MATCH(Summary!Q$1,'RA2-Elevated Dumps Slopes'!$A$9:$BN$9,1),FALSE),0)+IFERROR(VLOOKUP($B21,'RA3-Backfilled Pits'!$A$11:$BN$18,MATCH(Summary!Q$1,'RA3-Backfilled Pits'!$A$9:$BN$9,1),FALSE),0)+IFERROR(VLOOKUP($B21,'RA4-Tracks_Roads'!$A$11:$BN$18,MATCH(Summary!Q$1,'RA4-Tracks_Roads'!$A$9:$BN$9,1),FALSE),0)+IFERROR(VLOOKUP($B21,'RA5-ROM'!$A$11:$BN$18,MATCH(Summary!Q$1,'RA5-ROM'!$A$9:$BN$9,1),FALSE),0)+IFERROR(VLOOKUP($B21,'RA6-CHPP'!$A$11:$BN$18,MATCH(Summary!Q$1,'RA6-CHPP'!$A$9:$BN$9,1),FALSE),0)+IFERROR(VLOOKUP($B21,'RA7-Mine Infrastructure Area'!$A$11:$BN$18,MATCH(Summary!Q$1,'RA7-Mine Infrastructure Area'!$A$9:$BN$9,1),FALSE),0)+IFERROR(VLOOKUP($B21,'RA8-Water Management Structures'!$A$11:$BN$18,MATCH(Summary!Q$1,'RA8-Water Management Structures'!$A$9:$BN$9,1),FALSE),0)+IFERROR(VLOOKUP($B21,'RA9-Codisposal Upper'!$A$11:$BN$18,MATCH(Summary!Q$1,'RA9-Codisposal Upper'!$A$9:$BN$9,1),FALSE),0)+IFERROR(VLOOKUP($B21,'RA10-Codisposal Slopes'!$A$11:$BN$18,MATCH(Summary!Q$1,'RA10-Codisposal Slopes'!$A$9:$BN$9,1),FALSE),0)+IFERROR(VLOOKUP($B21,'IA1-Final Void inc Ramps'!$A$11:$BN$18,MATCH(Summary!Q$1,'IA1-Final Void inc Ramps'!$A$9:$BN$9,1),FALSE),0)</f>
        <v>0</v>
      </c>
      <c r="R21" s="47">
        <f>IFERROR(VLOOKUP($B21,'RA1- Elevated Dumps Upper'!$A$11:$BN$18,MATCH(Summary!R$1,'RA1- Elevated Dumps Upper'!$A$9:$BN$9,1),FALSE),0)+IFERROR(VLOOKUP($B21,'RA2-Elevated Dumps Slopes'!$A$11:$BN$18,MATCH(Summary!R$1,'RA2-Elevated Dumps Slopes'!$A$9:$BN$9,1),FALSE),0)+IFERROR(VLOOKUP($B21,'RA3-Backfilled Pits'!$A$11:$BN$18,MATCH(Summary!R$1,'RA3-Backfilled Pits'!$A$9:$BN$9,1),FALSE),0)+IFERROR(VLOOKUP($B21,'RA4-Tracks_Roads'!$A$11:$BN$18,MATCH(Summary!R$1,'RA4-Tracks_Roads'!$A$9:$BN$9,1),FALSE),0)+IFERROR(VLOOKUP($B21,'RA5-ROM'!$A$11:$BN$18,MATCH(Summary!R$1,'RA5-ROM'!$A$9:$BN$9,1),FALSE),0)+IFERROR(VLOOKUP($B21,'RA6-CHPP'!$A$11:$BN$18,MATCH(Summary!R$1,'RA6-CHPP'!$A$9:$BN$9,1),FALSE),0)+IFERROR(VLOOKUP($B21,'RA7-Mine Infrastructure Area'!$A$11:$BN$18,MATCH(Summary!R$1,'RA7-Mine Infrastructure Area'!$A$9:$BN$9,1),FALSE),0)+IFERROR(VLOOKUP($B21,'RA8-Water Management Structures'!$A$11:$BN$18,MATCH(Summary!R$1,'RA8-Water Management Structures'!$A$9:$BN$9,1),FALSE),0)+IFERROR(VLOOKUP($B21,'RA9-Codisposal Upper'!$A$11:$BN$18,MATCH(Summary!R$1,'RA9-Codisposal Upper'!$A$9:$BN$9,1),FALSE),0)+IFERROR(VLOOKUP($B21,'RA10-Codisposal Slopes'!$A$11:$BN$18,MATCH(Summary!R$1,'RA10-Codisposal Slopes'!$A$9:$BN$9,1),FALSE),0)+IFERROR(VLOOKUP($B21,'IA1-Final Void inc Ramps'!$A$11:$BN$18,MATCH(Summary!R$1,'IA1-Final Void inc Ramps'!$A$9:$BN$9,1),FALSE),0)</f>
        <v>0</v>
      </c>
      <c r="S21" s="47">
        <f>IFERROR(VLOOKUP($B21,'RA1- Elevated Dumps Upper'!$A$11:$BN$18,MATCH(Summary!S$1,'RA1- Elevated Dumps Upper'!$A$9:$BN$9,1),FALSE),0)+IFERROR(VLOOKUP($B21,'RA2-Elevated Dumps Slopes'!$A$11:$BN$18,MATCH(Summary!S$1,'RA2-Elevated Dumps Slopes'!$A$9:$BN$9,1),FALSE),0)+IFERROR(VLOOKUP($B21,'RA3-Backfilled Pits'!$A$11:$BN$18,MATCH(Summary!S$1,'RA3-Backfilled Pits'!$A$9:$BN$9,1),FALSE),0)+IFERROR(VLOOKUP($B21,'RA4-Tracks_Roads'!$A$11:$BN$18,MATCH(Summary!S$1,'RA4-Tracks_Roads'!$A$9:$BN$9,1),FALSE),0)+IFERROR(VLOOKUP($B21,'RA5-ROM'!$A$11:$BN$18,MATCH(Summary!S$1,'RA5-ROM'!$A$9:$BN$9,1),FALSE),0)+IFERROR(VLOOKUP($B21,'RA6-CHPP'!$A$11:$BN$18,MATCH(Summary!S$1,'RA6-CHPP'!$A$9:$BN$9,1),FALSE),0)+IFERROR(VLOOKUP($B21,'RA7-Mine Infrastructure Area'!$A$11:$BN$18,MATCH(Summary!S$1,'RA7-Mine Infrastructure Area'!$A$9:$BN$9,1),FALSE),0)+IFERROR(VLOOKUP($B21,'RA8-Water Management Structures'!$A$11:$BN$18,MATCH(Summary!S$1,'RA8-Water Management Structures'!$A$9:$BN$9,1),FALSE),0)+IFERROR(VLOOKUP($B21,'RA9-Codisposal Upper'!$A$11:$BN$18,MATCH(Summary!S$1,'RA9-Codisposal Upper'!$A$9:$BN$9,1),FALSE),0)+IFERROR(VLOOKUP($B21,'RA10-Codisposal Slopes'!$A$11:$BN$18,MATCH(Summary!S$1,'RA10-Codisposal Slopes'!$A$9:$BN$9,1),FALSE),0)+IFERROR(VLOOKUP($B21,'IA1-Final Void inc Ramps'!$A$11:$BN$18,MATCH(Summary!S$1,'IA1-Final Void inc Ramps'!$A$9:$BN$9,1),FALSE),0)</f>
        <v>0</v>
      </c>
      <c r="T21" s="47">
        <f>IFERROR(VLOOKUP($B21,'RA1- Elevated Dumps Upper'!$A$11:$BN$18,MATCH(Summary!T$1,'RA1- Elevated Dumps Upper'!$A$9:$BN$9,1),FALSE),0)+IFERROR(VLOOKUP($B21,'RA2-Elevated Dumps Slopes'!$A$11:$BN$18,MATCH(Summary!T$1,'RA2-Elevated Dumps Slopes'!$A$9:$BN$9,1),FALSE),0)+IFERROR(VLOOKUP($B21,'RA3-Backfilled Pits'!$A$11:$BN$18,MATCH(Summary!T$1,'RA3-Backfilled Pits'!$A$9:$BN$9,1),FALSE),0)+IFERROR(VLOOKUP($B21,'RA4-Tracks_Roads'!$A$11:$BN$18,MATCH(Summary!T$1,'RA4-Tracks_Roads'!$A$9:$BN$9,1),FALSE),0)+IFERROR(VLOOKUP($B21,'RA5-ROM'!$A$11:$BN$18,MATCH(Summary!T$1,'RA5-ROM'!$A$9:$BN$9,1),FALSE),0)+IFERROR(VLOOKUP($B21,'RA6-CHPP'!$A$11:$BN$18,MATCH(Summary!T$1,'RA6-CHPP'!$A$9:$BN$9,1),FALSE),0)+IFERROR(VLOOKUP($B21,'RA7-Mine Infrastructure Area'!$A$11:$BN$18,MATCH(Summary!T$1,'RA7-Mine Infrastructure Area'!$A$9:$BN$9,1),FALSE),0)+IFERROR(VLOOKUP($B21,'RA8-Water Management Structures'!$A$11:$BN$18,MATCH(Summary!T$1,'RA8-Water Management Structures'!$A$9:$BN$9,1),FALSE),0)+IFERROR(VLOOKUP($B21,'RA9-Codisposal Upper'!$A$11:$BN$18,MATCH(Summary!T$1,'RA9-Codisposal Upper'!$A$9:$BN$9,1),FALSE),0)+IFERROR(VLOOKUP($B21,'RA10-Codisposal Slopes'!$A$11:$BN$18,MATCH(Summary!T$1,'RA10-Codisposal Slopes'!$A$9:$BN$9,1),FALSE),0)+IFERROR(VLOOKUP($B21,'IA1-Final Void inc Ramps'!$A$11:$BN$18,MATCH(Summary!T$1,'IA1-Final Void inc Ramps'!$A$9:$BN$9,1),FALSE),0)</f>
        <v>0</v>
      </c>
      <c r="U21" s="47">
        <f>IFERROR(VLOOKUP($B21,'RA1- Elevated Dumps Upper'!$A$11:$BN$18,MATCH(Summary!U$1,'RA1- Elevated Dumps Upper'!$A$9:$BN$9,1),FALSE),0)+IFERROR(VLOOKUP($B21,'RA2-Elevated Dumps Slopes'!$A$11:$BN$18,MATCH(Summary!U$1,'RA2-Elevated Dumps Slopes'!$A$9:$BN$9,1),FALSE),0)+IFERROR(VLOOKUP($B21,'RA3-Backfilled Pits'!$A$11:$BN$18,MATCH(Summary!U$1,'RA3-Backfilled Pits'!$A$9:$BN$9,1),FALSE),0)+IFERROR(VLOOKUP($B21,'RA4-Tracks_Roads'!$A$11:$BN$18,MATCH(Summary!U$1,'RA4-Tracks_Roads'!$A$9:$BN$9,1),FALSE),0)+IFERROR(VLOOKUP($B21,'RA5-ROM'!$A$11:$BN$18,MATCH(Summary!U$1,'RA5-ROM'!$A$9:$BN$9,1),FALSE),0)+IFERROR(VLOOKUP($B21,'RA6-CHPP'!$A$11:$BN$18,MATCH(Summary!U$1,'RA6-CHPP'!$A$9:$BN$9,1),FALSE),0)+IFERROR(VLOOKUP($B21,'RA7-Mine Infrastructure Area'!$A$11:$BN$18,MATCH(Summary!U$1,'RA7-Mine Infrastructure Area'!$A$9:$BN$9,1),FALSE),0)+IFERROR(VLOOKUP($B21,'RA8-Water Management Structures'!$A$11:$BN$18,MATCH(Summary!U$1,'RA8-Water Management Structures'!$A$9:$BN$9,1),FALSE),0)+IFERROR(VLOOKUP($B21,'RA9-Codisposal Upper'!$A$11:$BN$18,MATCH(Summary!U$1,'RA9-Codisposal Upper'!$A$9:$BN$9,1),FALSE),0)+IFERROR(VLOOKUP($B21,'RA10-Codisposal Slopes'!$A$11:$BN$18,MATCH(Summary!U$1,'RA10-Codisposal Slopes'!$A$9:$BN$9,1),FALSE),0)+IFERROR(VLOOKUP($B21,'IA1-Final Void inc Ramps'!$A$11:$BN$18,MATCH(Summary!U$1,'IA1-Final Void inc Ramps'!$A$9:$BN$9,1),FALSE),0)</f>
        <v>0</v>
      </c>
      <c r="V21" s="47">
        <f>IFERROR(VLOOKUP($B21,'RA1- Elevated Dumps Upper'!$A$11:$BN$18,MATCH(Summary!V$1,'RA1- Elevated Dumps Upper'!$A$9:$BN$9,1),FALSE),0)+IFERROR(VLOOKUP($B21,'RA2-Elevated Dumps Slopes'!$A$11:$BN$18,MATCH(Summary!V$1,'RA2-Elevated Dumps Slopes'!$A$9:$BN$9,1),FALSE),0)+IFERROR(VLOOKUP($B21,'RA3-Backfilled Pits'!$A$11:$BN$18,MATCH(Summary!V$1,'RA3-Backfilled Pits'!$A$9:$BN$9,1),FALSE),0)+IFERROR(VLOOKUP($B21,'RA4-Tracks_Roads'!$A$11:$BN$18,MATCH(Summary!V$1,'RA4-Tracks_Roads'!$A$9:$BN$9,1),FALSE),0)+IFERROR(VLOOKUP($B21,'RA5-ROM'!$A$11:$BN$18,MATCH(Summary!V$1,'RA5-ROM'!$A$9:$BN$9,1),FALSE),0)+IFERROR(VLOOKUP($B21,'RA6-CHPP'!$A$11:$BN$18,MATCH(Summary!V$1,'RA6-CHPP'!$A$9:$BN$9,1),FALSE),0)+IFERROR(VLOOKUP($B21,'RA7-Mine Infrastructure Area'!$A$11:$BN$18,MATCH(Summary!V$1,'RA7-Mine Infrastructure Area'!$A$9:$BN$9,1),FALSE),0)+IFERROR(VLOOKUP($B21,'RA8-Water Management Structures'!$A$11:$BN$18,MATCH(Summary!V$1,'RA8-Water Management Structures'!$A$9:$BN$9,1),FALSE),0)+IFERROR(VLOOKUP($B21,'RA9-Codisposal Upper'!$A$11:$BN$18,MATCH(Summary!V$1,'RA9-Codisposal Upper'!$A$9:$BN$9,1),FALSE),0)+IFERROR(VLOOKUP($B21,'RA10-Codisposal Slopes'!$A$11:$BN$18,MATCH(Summary!V$1,'RA10-Codisposal Slopes'!$A$9:$BN$9,1),FALSE),0)+IFERROR(VLOOKUP($B21,'IA1-Final Void inc Ramps'!$A$11:$BN$18,MATCH(Summary!V$1,'IA1-Final Void inc Ramps'!$A$9:$BN$9,1),FALSE),0)</f>
        <v>0</v>
      </c>
      <c r="W21" s="47">
        <f>IFERROR(VLOOKUP($B21,'RA1- Elevated Dumps Upper'!$A$11:$BN$18,MATCH(Summary!W$1,'RA1- Elevated Dumps Upper'!$A$9:$BN$9,1),FALSE),0)+IFERROR(VLOOKUP($B21,'RA2-Elevated Dumps Slopes'!$A$11:$BN$18,MATCH(Summary!W$1,'RA2-Elevated Dumps Slopes'!$A$9:$BN$9,1),FALSE),0)+IFERROR(VLOOKUP($B21,'RA3-Backfilled Pits'!$A$11:$BN$18,MATCH(Summary!W$1,'RA3-Backfilled Pits'!$A$9:$BN$9,1),FALSE),0)+IFERROR(VLOOKUP($B21,'RA4-Tracks_Roads'!$A$11:$BN$18,MATCH(Summary!W$1,'RA4-Tracks_Roads'!$A$9:$BN$9,1),FALSE),0)+IFERROR(VLOOKUP($B21,'RA5-ROM'!$A$11:$BN$18,MATCH(Summary!W$1,'RA5-ROM'!$A$9:$BN$9,1),FALSE),0)+IFERROR(VLOOKUP($B21,'RA6-CHPP'!$A$11:$BN$18,MATCH(Summary!W$1,'RA6-CHPP'!$A$9:$BN$9,1),FALSE),0)+IFERROR(VLOOKUP($B21,'RA7-Mine Infrastructure Area'!$A$11:$BN$18,MATCH(Summary!W$1,'RA7-Mine Infrastructure Area'!$A$9:$BN$9,1),FALSE),0)+IFERROR(VLOOKUP($B21,'RA8-Water Management Structures'!$A$11:$BN$18,MATCH(Summary!W$1,'RA8-Water Management Structures'!$A$9:$BN$9,1),FALSE),0)+IFERROR(VLOOKUP($B21,'RA9-Codisposal Upper'!$A$11:$BN$18,MATCH(Summary!W$1,'RA9-Codisposal Upper'!$A$9:$BN$9,1),FALSE),0)+IFERROR(VLOOKUP($B21,'RA10-Codisposal Slopes'!$A$11:$BN$18,MATCH(Summary!W$1,'RA10-Codisposal Slopes'!$A$9:$BN$9,1),FALSE),0)+IFERROR(VLOOKUP($B21,'IA1-Final Void inc Ramps'!$A$11:$BN$18,MATCH(Summary!W$1,'IA1-Final Void inc Ramps'!$A$9:$BN$9,1),FALSE),0)</f>
        <v>0</v>
      </c>
      <c r="X21" s="47">
        <f>IFERROR(VLOOKUP($B21,'RA1- Elevated Dumps Upper'!$A$11:$BN$18,MATCH(Summary!X$1,'RA1- Elevated Dumps Upper'!$A$9:$BN$9,1),FALSE),0)+IFERROR(VLOOKUP($B21,'RA2-Elevated Dumps Slopes'!$A$11:$BN$18,MATCH(Summary!X$1,'RA2-Elevated Dumps Slopes'!$A$9:$BN$9,1),FALSE),0)+IFERROR(VLOOKUP($B21,'RA3-Backfilled Pits'!$A$11:$BN$18,MATCH(Summary!X$1,'RA3-Backfilled Pits'!$A$9:$BN$9,1),FALSE),0)+IFERROR(VLOOKUP($B21,'RA4-Tracks_Roads'!$A$11:$BN$18,MATCH(Summary!X$1,'RA4-Tracks_Roads'!$A$9:$BN$9,1),FALSE),0)+IFERROR(VLOOKUP($B21,'RA5-ROM'!$A$11:$BN$18,MATCH(Summary!X$1,'RA5-ROM'!$A$9:$BN$9,1),FALSE),0)+IFERROR(VLOOKUP($B21,'RA6-CHPP'!$A$11:$BN$18,MATCH(Summary!X$1,'RA6-CHPP'!$A$9:$BN$9,1),FALSE),0)+IFERROR(VLOOKUP($B21,'RA7-Mine Infrastructure Area'!$A$11:$BN$18,MATCH(Summary!X$1,'RA7-Mine Infrastructure Area'!$A$9:$BN$9,1),FALSE),0)+IFERROR(VLOOKUP($B21,'RA8-Water Management Structures'!$A$11:$BN$18,MATCH(Summary!X$1,'RA8-Water Management Structures'!$A$9:$BN$9,1),FALSE),0)+IFERROR(VLOOKUP($B21,'RA9-Codisposal Upper'!$A$11:$BN$18,MATCH(Summary!X$1,'RA9-Codisposal Upper'!$A$9:$BN$9,1),FALSE),0)+IFERROR(VLOOKUP($B21,'RA10-Codisposal Slopes'!$A$11:$BN$18,MATCH(Summary!X$1,'RA10-Codisposal Slopes'!$A$9:$BN$9,1),FALSE),0)+IFERROR(VLOOKUP($B21,'IA1-Final Void inc Ramps'!$A$11:$BN$18,MATCH(Summary!X$1,'IA1-Final Void inc Ramps'!$A$9:$BN$9,1),FALSE),0)</f>
        <v>0</v>
      </c>
      <c r="Y21" s="47">
        <f>IFERROR(VLOOKUP($B21,'RA1- Elevated Dumps Upper'!$A$11:$BN$18,MATCH(Summary!Y$1,'RA1- Elevated Dumps Upper'!$A$9:$BN$9,1),FALSE),0)+IFERROR(VLOOKUP($B21,'RA2-Elevated Dumps Slopes'!$A$11:$BN$18,MATCH(Summary!Y$1,'RA2-Elevated Dumps Slopes'!$A$9:$BN$9,1),FALSE),0)+IFERROR(VLOOKUP($B21,'RA3-Backfilled Pits'!$A$11:$BN$18,MATCH(Summary!Y$1,'RA3-Backfilled Pits'!$A$9:$BN$9,1),FALSE),0)+IFERROR(VLOOKUP($B21,'RA4-Tracks_Roads'!$A$11:$BN$18,MATCH(Summary!Y$1,'RA4-Tracks_Roads'!$A$9:$BN$9,1),FALSE),0)+IFERROR(VLOOKUP($B21,'RA5-ROM'!$A$11:$BN$18,MATCH(Summary!Y$1,'RA5-ROM'!$A$9:$BN$9,1),FALSE),0)+IFERROR(VLOOKUP($B21,'RA6-CHPP'!$A$11:$BN$18,MATCH(Summary!Y$1,'RA6-CHPP'!$A$9:$BN$9,1),FALSE),0)+IFERROR(VLOOKUP($B21,'RA7-Mine Infrastructure Area'!$A$11:$BN$18,MATCH(Summary!Y$1,'RA7-Mine Infrastructure Area'!$A$9:$BN$9,1),FALSE),0)+IFERROR(VLOOKUP($B21,'RA8-Water Management Structures'!$A$11:$BN$18,MATCH(Summary!Y$1,'RA8-Water Management Structures'!$A$9:$BN$9,1),FALSE),0)+IFERROR(VLOOKUP($B21,'RA9-Codisposal Upper'!$A$11:$BN$18,MATCH(Summary!Y$1,'RA9-Codisposal Upper'!$A$9:$BN$9,1),FALSE),0)+IFERROR(VLOOKUP($B21,'RA10-Codisposal Slopes'!$A$11:$BN$18,MATCH(Summary!Y$1,'RA10-Codisposal Slopes'!$A$9:$BN$9,1),FALSE),0)+IFERROR(VLOOKUP($B21,'IA1-Final Void inc Ramps'!$A$11:$BN$18,MATCH(Summary!Y$1,'IA1-Final Void inc Ramps'!$A$9:$BN$9,1),FALSE),0)</f>
        <v>0</v>
      </c>
      <c r="Z21" s="47">
        <f>IFERROR(VLOOKUP($B21,'RA1- Elevated Dumps Upper'!$A$11:$BN$18,MATCH(Summary!Z$1,'RA1- Elevated Dumps Upper'!$A$9:$BN$9,1),FALSE),0)+IFERROR(VLOOKUP($B21,'RA2-Elevated Dumps Slopes'!$A$11:$BN$18,MATCH(Summary!Z$1,'RA2-Elevated Dumps Slopes'!$A$9:$BN$9,1),FALSE),0)+IFERROR(VLOOKUP($B21,'RA3-Backfilled Pits'!$A$11:$BN$18,MATCH(Summary!Z$1,'RA3-Backfilled Pits'!$A$9:$BN$9,1),FALSE),0)+IFERROR(VLOOKUP($B21,'RA4-Tracks_Roads'!$A$11:$BN$18,MATCH(Summary!Z$1,'RA4-Tracks_Roads'!$A$9:$BN$9,1),FALSE),0)+IFERROR(VLOOKUP($B21,'RA5-ROM'!$A$11:$BN$18,MATCH(Summary!Z$1,'RA5-ROM'!$A$9:$BN$9,1),FALSE),0)+IFERROR(VLOOKUP($B21,'RA6-CHPP'!$A$11:$BN$18,MATCH(Summary!Z$1,'RA6-CHPP'!$A$9:$BN$9,1),FALSE),0)+IFERROR(VLOOKUP($B21,'RA7-Mine Infrastructure Area'!$A$11:$BN$18,MATCH(Summary!Z$1,'RA7-Mine Infrastructure Area'!$A$9:$BN$9,1),FALSE),0)+IFERROR(VLOOKUP($B21,'RA8-Water Management Structures'!$A$11:$BN$18,MATCH(Summary!Z$1,'RA8-Water Management Structures'!$A$9:$BN$9,1),FALSE),0)+IFERROR(VLOOKUP($B21,'RA9-Codisposal Upper'!$A$11:$BN$18,MATCH(Summary!Z$1,'RA9-Codisposal Upper'!$A$9:$BN$9,1),FALSE),0)+IFERROR(VLOOKUP($B21,'RA10-Codisposal Slopes'!$A$11:$BN$18,MATCH(Summary!Z$1,'RA10-Codisposal Slopes'!$A$9:$BN$9,1),FALSE),0)+IFERROR(VLOOKUP($B21,'IA1-Final Void inc Ramps'!$A$11:$BN$18,MATCH(Summary!Z$1,'IA1-Final Void inc Ramps'!$A$9:$BN$9,1),FALSE),0)</f>
        <v>0</v>
      </c>
      <c r="AA21" s="47">
        <f>IFERROR(VLOOKUP($B21,'RA1- Elevated Dumps Upper'!$A$11:$BN$18,MATCH(Summary!AA$1,'RA1- Elevated Dumps Upper'!$A$9:$BN$9,1),FALSE),0)+IFERROR(VLOOKUP($B21,'RA2-Elevated Dumps Slopes'!$A$11:$BN$18,MATCH(Summary!AA$1,'RA2-Elevated Dumps Slopes'!$A$9:$BN$9,1),FALSE),0)+IFERROR(VLOOKUP($B21,'RA3-Backfilled Pits'!$A$11:$BN$18,MATCH(Summary!AA$1,'RA3-Backfilled Pits'!$A$9:$BN$9,1),FALSE),0)+IFERROR(VLOOKUP($B21,'RA4-Tracks_Roads'!$A$11:$BN$18,MATCH(Summary!AA$1,'RA4-Tracks_Roads'!$A$9:$BN$9,1),FALSE),0)+IFERROR(VLOOKUP($B21,'RA5-ROM'!$A$11:$BN$18,MATCH(Summary!AA$1,'RA5-ROM'!$A$9:$BN$9,1),FALSE),0)+IFERROR(VLOOKUP($B21,'RA6-CHPP'!$A$11:$BN$18,MATCH(Summary!AA$1,'RA6-CHPP'!$A$9:$BN$9,1),FALSE),0)+IFERROR(VLOOKUP($B21,'RA7-Mine Infrastructure Area'!$A$11:$BN$18,MATCH(Summary!AA$1,'RA7-Mine Infrastructure Area'!$A$9:$BN$9,1),FALSE),0)+IFERROR(VLOOKUP($B21,'RA8-Water Management Structures'!$A$11:$BN$18,MATCH(Summary!AA$1,'RA8-Water Management Structures'!$A$9:$BN$9,1),FALSE),0)+IFERROR(VLOOKUP($B21,'RA9-Codisposal Upper'!$A$11:$BN$18,MATCH(Summary!AA$1,'RA9-Codisposal Upper'!$A$9:$BN$9,1),FALSE),0)+IFERROR(VLOOKUP($B21,'RA10-Codisposal Slopes'!$A$11:$BN$18,MATCH(Summary!AA$1,'RA10-Codisposal Slopes'!$A$9:$BN$9,1),FALSE),0)+IFERROR(VLOOKUP($B21,'IA1-Final Void inc Ramps'!$A$11:$BN$18,MATCH(Summary!AA$1,'IA1-Final Void inc Ramps'!$A$9:$BN$9,1),FALSE),0)</f>
        <v>0</v>
      </c>
      <c r="AB21" s="47">
        <f>IFERROR(VLOOKUP($B21,'RA1- Elevated Dumps Upper'!$A$11:$BN$18,MATCH(Summary!AB$1,'RA1- Elevated Dumps Upper'!$A$9:$BN$9,1),FALSE),0)+IFERROR(VLOOKUP($B21,'RA2-Elevated Dumps Slopes'!$A$11:$BN$18,MATCH(Summary!AB$1,'RA2-Elevated Dumps Slopes'!$A$9:$BN$9,1),FALSE),0)+IFERROR(VLOOKUP($B21,'RA3-Backfilled Pits'!$A$11:$BN$18,MATCH(Summary!AB$1,'RA3-Backfilled Pits'!$A$9:$BN$9,1),FALSE),0)+IFERROR(VLOOKUP($B21,'RA4-Tracks_Roads'!$A$11:$BN$18,MATCH(Summary!AB$1,'RA4-Tracks_Roads'!$A$9:$BN$9,1),FALSE),0)+IFERROR(VLOOKUP($B21,'RA5-ROM'!$A$11:$BN$18,MATCH(Summary!AB$1,'RA5-ROM'!$A$9:$BN$9,1),FALSE),0)+IFERROR(VLOOKUP($B21,'RA6-CHPP'!$A$11:$BN$18,MATCH(Summary!AB$1,'RA6-CHPP'!$A$9:$BN$9,1),FALSE),0)+IFERROR(VLOOKUP($B21,'RA7-Mine Infrastructure Area'!$A$11:$BN$18,MATCH(Summary!AB$1,'RA7-Mine Infrastructure Area'!$A$9:$BN$9,1),FALSE),0)+IFERROR(VLOOKUP($B21,'RA8-Water Management Structures'!$A$11:$BN$18,MATCH(Summary!AB$1,'RA8-Water Management Structures'!$A$9:$BN$9,1),FALSE),0)+IFERROR(VLOOKUP($B21,'RA9-Codisposal Upper'!$A$11:$BN$18,MATCH(Summary!AB$1,'RA9-Codisposal Upper'!$A$9:$BN$9,1),FALSE),0)+IFERROR(VLOOKUP($B21,'RA10-Codisposal Slopes'!$A$11:$BN$18,MATCH(Summary!AB$1,'RA10-Codisposal Slopes'!$A$9:$BN$9,1),FALSE),0)+IFERROR(VLOOKUP($B21,'IA1-Final Void inc Ramps'!$A$11:$BN$18,MATCH(Summary!AB$1,'IA1-Final Void inc Ramps'!$A$9:$BN$9,1),FALSE),0)</f>
        <v>0</v>
      </c>
      <c r="AC21" s="47">
        <f>IFERROR(VLOOKUP($B21,'RA1- Elevated Dumps Upper'!$A$11:$BN$18,MATCH(Summary!AC$1,'RA1- Elevated Dumps Upper'!$A$9:$BN$9,1),FALSE),0)+IFERROR(VLOOKUP($B21,'RA2-Elevated Dumps Slopes'!$A$11:$BN$18,MATCH(Summary!AC$1,'RA2-Elevated Dumps Slopes'!$A$9:$BN$9,1),FALSE),0)+IFERROR(VLOOKUP($B21,'RA3-Backfilled Pits'!$A$11:$BN$18,MATCH(Summary!AC$1,'RA3-Backfilled Pits'!$A$9:$BN$9,1),FALSE),0)+IFERROR(VLOOKUP($B21,'RA4-Tracks_Roads'!$A$11:$BN$18,MATCH(Summary!AC$1,'RA4-Tracks_Roads'!$A$9:$BN$9,1),FALSE),0)+IFERROR(VLOOKUP($B21,'RA5-ROM'!$A$11:$BN$18,MATCH(Summary!AC$1,'RA5-ROM'!$A$9:$BN$9,1),FALSE),0)+IFERROR(VLOOKUP($B21,'RA6-CHPP'!$A$11:$BN$18,MATCH(Summary!AC$1,'RA6-CHPP'!$A$9:$BN$9,1),FALSE),0)+IFERROR(VLOOKUP($B21,'RA7-Mine Infrastructure Area'!$A$11:$BN$18,MATCH(Summary!AC$1,'RA7-Mine Infrastructure Area'!$A$9:$BN$9,1),FALSE),0)+IFERROR(VLOOKUP($B21,'RA8-Water Management Structures'!$A$11:$BN$18,MATCH(Summary!AC$1,'RA8-Water Management Structures'!$A$9:$BN$9,1),FALSE),0)+IFERROR(VLOOKUP($B21,'RA9-Codisposal Upper'!$A$11:$BN$18,MATCH(Summary!AC$1,'RA9-Codisposal Upper'!$A$9:$BN$9,1),FALSE),0)+IFERROR(VLOOKUP($B21,'RA10-Codisposal Slopes'!$A$11:$BN$18,MATCH(Summary!AC$1,'RA10-Codisposal Slopes'!$A$9:$BN$9,1),FALSE),0)+IFERROR(VLOOKUP($B21,'IA1-Final Void inc Ramps'!$A$11:$BN$18,MATCH(Summary!AC$1,'IA1-Final Void inc Ramps'!$A$9:$BN$9,1),FALSE),0)</f>
        <v>0</v>
      </c>
      <c r="AD21" s="47">
        <f>IFERROR(VLOOKUP($B21,'RA1- Elevated Dumps Upper'!$A$11:$BN$18,MATCH(Summary!AD$1,'RA1- Elevated Dumps Upper'!$A$9:$BN$9,1),FALSE),0)+IFERROR(VLOOKUP($B21,'RA2-Elevated Dumps Slopes'!$A$11:$BN$18,MATCH(Summary!AD$1,'RA2-Elevated Dumps Slopes'!$A$9:$BN$9,1),FALSE),0)+IFERROR(VLOOKUP($B21,'RA3-Backfilled Pits'!$A$11:$BN$18,MATCH(Summary!AD$1,'RA3-Backfilled Pits'!$A$9:$BN$9,1),FALSE),0)+IFERROR(VLOOKUP($B21,'RA4-Tracks_Roads'!$A$11:$BN$18,MATCH(Summary!AD$1,'RA4-Tracks_Roads'!$A$9:$BN$9,1),FALSE),0)+IFERROR(VLOOKUP($B21,'RA5-ROM'!$A$11:$BN$18,MATCH(Summary!AD$1,'RA5-ROM'!$A$9:$BN$9,1),FALSE),0)+IFERROR(VLOOKUP($B21,'RA6-CHPP'!$A$11:$BN$18,MATCH(Summary!AD$1,'RA6-CHPP'!$A$9:$BN$9,1),FALSE),0)+IFERROR(VLOOKUP($B21,'RA7-Mine Infrastructure Area'!$A$11:$BN$18,MATCH(Summary!AD$1,'RA7-Mine Infrastructure Area'!$A$9:$BN$9,1),FALSE),0)+IFERROR(VLOOKUP($B21,'RA8-Water Management Structures'!$A$11:$BN$18,MATCH(Summary!AD$1,'RA8-Water Management Structures'!$A$9:$BN$9,1),FALSE),0)+IFERROR(VLOOKUP($B21,'RA9-Codisposal Upper'!$A$11:$BN$18,MATCH(Summary!AD$1,'RA9-Codisposal Upper'!$A$9:$BN$9,1),FALSE),0)+IFERROR(VLOOKUP($B21,'RA10-Codisposal Slopes'!$A$11:$BN$18,MATCH(Summary!AD$1,'RA10-Codisposal Slopes'!$A$9:$BN$9,1),FALSE),0)+IFERROR(VLOOKUP($B21,'IA1-Final Void inc Ramps'!$A$11:$BN$18,MATCH(Summary!AD$1,'IA1-Final Void inc Ramps'!$A$9:$BN$9,1),FALSE),0)</f>
        <v>0</v>
      </c>
      <c r="AE21" s="47">
        <f>IFERROR(VLOOKUP($B21,'RA1- Elevated Dumps Upper'!$A$11:$BN$18,MATCH(Summary!AE$1,'RA1- Elevated Dumps Upper'!$A$9:$BN$9,1),FALSE),0)+IFERROR(VLOOKUP($B21,'RA2-Elevated Dumps Slopes'!$A$11:$BN$18,MATCH(Summary!AE$1,'RA2-Elevated Dumps Slopes'!$A$9:$BN$9,1),FALSE),0)+IFERROR(VLOOKUP($B21,'RA3-Backfilled Pits'!$A$11:$BN$18,MATCH(Summary!AE$1,'RA3-Backfilled Pits'!$A$9:$BN$9,1),FALSE),0)+IFERROR(VLOOKUP($B21,'RA4-Tracks_Roads'!$A$11:$BN$18,MATCH(Summary!AE$1,'RA4-Tracks_Roads'!$A$9:$BN$9,1),FALSE),0)+IFERROR(VLOOKUP($B21,'RA5-ROM'!$A$11:$BN$18,MATCH(Summary!AE$1,'RA5-ROM'!$A$9:$BN$9,1),FALSE),0)+IFERROR(VLOOKUP($B21,'RA6-CHPP'!$A$11:$BN$18,MATCH(Summary!AE$1,'RA6-CHPP'!$A$9:$BN$9,1),FALSE),0)+IFERROR(VLOOKUP($B21,'RA7-Mine Infrastructure Area'!$A$11:$BN$18,MATCH(Summary!AE$1,'RA7-Mine Infrastructure Area'!$A$9:$BN$9,1),FALSE),0)+IFERROR(VLOOKUP($B21,'RA8-Water Management Structures'!$A$11:$BN$18,MATCH(Summary!AE$1,'RA8-Water Management Structures'!$A$9:$BN$9,1),FALSE),0)+IFERROR(VLOOKUP($B21,'RA9-Codisposal Upper'!$A$11:$BN$18,MATCH(Summary!AE$1,'RA9-Codisposal Upper'!$A$9:$BN$9,1),FALSE),0)+IFERROR(VLOOKUP($B21,'RA10-Codisposal Slopes'!$A$11:$BN$18,MATCH(Summary!AE$1,'RA10-Codisposal Slopes'!$A$9:$BN$9,1),FALSE),0)+IFERROR(VLOOKUP($B21,'IA1-Final Void inc Ramps'!$A$11:$BN$18,MATCH(Summary!AE$1,'IA1-Final Void inc Ramps'!$A$9:$BN$9,1),FALSE),0)</f>
        <v>0</v>
      </c>
      <c r="AF21" s="47">
        <f>IFERROR(VLOOKUP($B21,'RA1- Elevated Dumps Upper'!$A$11:$BN$18,MATCH(Summary!AF$1,'RA1- Elevated Dumps Upper'!$A$9:$BN$9,1),FALSE),0)+IFERROR(VLOOKUP($B21,'RA2-Elevated Dumps Slopes'!$A$11:$BN$18,MATCH(Summary!AF$1,'RA2-Elevated Dumps Slopes'!$A$9:$BN$9,1),FALSE),0)+IFERROR(VLOOKUP($B21,'RA3-Backfilled Pits'!$A$11:$BN$18,MATCH(Summary!AF$1,'RA3-Backfilled Pits'!$A$9:$BN$9,1),FALSE),0)+IFERROR(VLOOKUP($B21,'RA4-Tracks_Roads'!$A$11:$BN$18,MATCH(Summary!AF$1,'RA4-Tracks_Roads'!$A$9:$BN$9,1),FALSE),0)+IFERROR(VLOOKUP($B21,'RA5-ROM'!$A$11:$BN$18,MATCH(Summary!AF$1,'RA5-ROM'!$A$9:$BN$9,1),FALSE),0)+IFERROR(VLOOKUP($B21,'RA6-CHPP'!$A$11:$BN$18,MATCH(Summary!AF$1,'RA6-CHPP'!$A$9:$BN$9,1),FALSE),0)+IFERROR(VLOOKUP($B21,'RA7-Mine Infrastructure Area'!$A$11:$BN$18,MATCH(Summary!AF$1,'RA7-Mine Infrastructure Area'!$A$9:$BN$9,1),FALSE),0)+IFERROR(VLOOKUP($B21,'RA8-Water Management Structures'!$A$11:$BN$18,MATCH(Summary!AF$1,'RA8-Water Management Structures'!$A$9:$BN$9,1),FALSE),0)+IFERROR(VLOOKUP($B21,'RA9-Codisposal Upper'!$A$11:$BN$18,MATCH(Summary!AF$1,'RA9-Codisposal Upper'!$A$9:$BN$9,1),FALSE),0)+IFERROR(VLOOKUP($B21,'RA10-Codisposal Slopes'!$A$11:$BN$18,MATCH(Summary!AF$1,'RA10-Codisposal Slopes'!$A$9:$BN$9,1),FALSE),0)+IFERROR(VLOOKUP($B21,'IA1-Final Void inc Ramps'!$A$11:$BN$18,MATCH(Summary!AF$1,'IA1-Final Void inc Ramps'!$A$9:$BN$9,1),FALSE),0)</f>
        <v>0</v>
      </c>
      <c r="AG21" s="47">
        <f>IFERROR(VLOOKUP($B21,'RA1- Elevated Dumps Upper'!$A$11:$BN$18,MATCH(Summary!AG$1,'RA1- Elevated Dumps Upper'!$A$9:$BN$9,1),FALSE),0)+IFERROR(VLOOKUP($B21,'RA2-Elevated Dumps Slopes'!$A$11:$BN$18,MATCH(Summary!AG$1,'RA2-Elevated Dumps Slopes'!$A$9:$BN$9,1),FALSE),0)+IFERROR(VLOOKUP($B21,'RA3-Backfilled Pits'!$A$11:$BN$18,MATCH(Summary!AG$1,'RA3-Backfilled Pits'!$A$9:$BN$9,1),FALSE),0)+IFERROR(VLOOKUP($B21,'RA4-Tracks_Roads'!$A$11:$BN$18,MATCH(Summary!AG$1,'RA4-Tracks_Roads'!$A$9:$BN$9,1),FALSE),0)+IFERROR(VLOOKUP($B21,'RA5-ROM'!$A$11:$BN$18,MATCH(Summary!AG$1,'RA5-ROM'!$A$9:$BN$9,1),FALSE),0)+IFERROR(VLOOKUP($B21,'RA6-CHPP'!$A$11:$BN$18,MATCH(Summary!AG$1,'RA6-CHPP'!$A$9:$BN$9,1),FALSE),0)+IFERROR(VLOOKUP($B21,'RA7-Mine Infrastructure Area'!$A$11:$BN$18,MATCH(Summary!AG$1,'RA7-Mine Infrastructure Area'!$A$9:$BN$9,1),FALSE),0)+IFERROR(VLOOKUP($B21,'RA8-Water Management Structures'!$A$11:$BN$18,MATCH(Summary!AG$1,'RA8-Water Management Structures'!$A$9:$BN$9,1),FALSE),0)+IFERROR(VLOOKUP($B21,'RA9-Codisposal Upper'!$A$11:$BN$18,MATCH(Summary!AG$1,'RA9-Codisposal Upper'!$A$9:$BN$9,1),FALSE),0)+IFERROR(VLOOKUP($B21,'RA10-Codisposal Slopes'!$A$11:$BN$18,MATCH(Summary!AG$1,'RA10-Codisposal Slopes'!$A$9:$BN$9,1),FALSE),0)+IFERROR(VLOOKUP($B21,'IA1-Final Void inc Ramps'!$A$11:$BN$18,MATCH(Summary!AG$1,'IA1-Final Void inc Ramps'!$A$9:$BN$9,1),FALSE),0)</f>
        <v>0</v>
      </c>
      <c r="AH21" s="47">
        <f>IFERROR(VLOOKUP($B21,'RA1- Elevated Dumps Upper'!$A$11:$BN$18,MATCH(Summary!AH$1,'RA1- Elevated Dumps Upper'!$A$9:$BN$9,1),FALSE),0)+IFERROR(VLOOKUP($B21,'RA2-Elevated Dumps Slopes'!$A$11:$BN$18,MATCH(Summary!AH$1,'RA2-Elevated Dumps Slopes'!$A$9:$BN$9,1),FALSE),0)+IFERROR(VLOOKUP($B21,'RA3-Backfilled Pits'!$A$11:$BN$18,MATCH(Summary!AH$1,'RA3-Backfilled Pits'!$A$9:$BN$9,1),FALSE),0)+IFERROR(VLOOKUP($B21,'RA4-Tracks_Roads'!$A$11:$BN$18,MATCH(Summary!AH$1,'RA4-Tracks_Roads'!$A$9:$BN$9,1),FALSE),0)+IFERROR(VLOOKUP($B21,'RA5-ROM'!$A$11:$BN$18,MATCH(Summary!AH$1,'RA5-ROM'!$A$9:$BN$9,1),FALSE),0)+IFERROR(VLOOKUP($B21,'RA6-CHPP'!$A$11:$BN$18,MATCH(Summary!AH$1,'RA6-CHPP'!$A$9:$BN$9,1),FALSE),0)+IFERROR(VLOOKUP($B21,'RA7-Mine Infrastructure Area'!$A$11:$BN$18,MATCH(Summary!AH$1,'RA7-Mine Infrastructure Area'!$A$9:$BN$9,1),FALSE),0)+IFERROR(VLOOKUP($B21,'RA8-Water Management Structures'!$A$11:$BN$18,MATCH(Summary!AH$1,'RA8-Water Management Structures'!$A$9:$BN$9,1),FALSE),0)+IFERROR(VLOOKUP($B21,'RA9-Codisposal Upper'!$A$11:$BN$18,MATCH(Summary!AH$1,'RA9-Codisposal Upper'!$A$9:$BN$9,1),FALSE),0)+IFERROR(VLOOKUP($B21,'RA10-Codisposal Slopes'!$A$11:$BN$18,MATCH(Summary!AH$1,'RA10-Codisposal Slopes'!$A$9:$BN$9,1),FALSE),0)+IFERROR(VLOOKUP($B21,'IA1-Final Void inc Ramps'!$A$11:$BN$18,MATCH(Summary!AH$1,'IA1-Final Void inc Ramps'!$A$9:$BN$9,1),FALSE),0)</f>
        <v>0</v>
      </c>
      <c r="AI21" s="47">
        <f>IFERROR(VLOOKUP($B21,'RA1- Elevated Dumps Upper'!$A$11:$BN$18,MATCH(Summary!AI$1,'RA1- Elevated Dumps Upper'!$A$9:$BN$9,1),FALSE),0)+IFERROR(VLOOKUP($B21,'RA2-Elevated Dumps Slopes'!$A$11:$BN$18,MATCH(Summary!AI$1,'RA2-Elevated Dumps Slopes'!$A$9:$BN$9,1),FALSE),0)+IFERROR(VLOOKUP($B21,'RA3-Backfilled Pits'!$A$11:$BN$18,MATCH(Summary!AI$1,'RA3-Backfilled Pits'!$A$9:$BN$9,1),FALSE),0)+IFERROR(VLOOKUP($B21,'RA4-Tracks_Roads'!$A$11:$BN$18,MATCH(Summary!AI$1,'RA4-Tracks_Roads'!$A$9:$BN$9,1),FALSE),0)+IFERROR(VLOOKUP($B21,'RA5-ROM'!$A$11:$BN$18,MATCH(Summary!AI$1,'RA5-ROM'!$A$9:$BN$9,1),FALSE),0)+IFERROR(VLOOKUP($B21,'RA6-CHPP'!$A$11:$BN$18,MATCH(Summary!AI$1,'RA6-CHPP'!$A$9:$BN$9,1),FALSE),0)+IFERROR(VLOOKUP($B21,'RA7-Mine Infrastructure Area'!$A$11:$BN$18,MATCH(Summary!AI$1,'RA7-Mine Infrastructure Area'!$A$9:$BN$9,1),FALSE),0)+IFERROR(VLOOKUP($B21,'RA8-Water Management Structures'!$A$11:$BN$18,MATCH(Summary!AI$1,'RA8-Water Management Structures'!$A$9:$BN$9,1),FALSE),0)+IFERROR(VLOOKUP($B21,'RA9-Codisposal Upper'!$A$11:$BN$18,MATCH(Summary!AI$1,'RA9-Codisposal Upper'!$A$9:$BN$9,1),FALSE),0)+IFERROR(VLOOKUP($B21,'RA10-Codisposal Slopes'!$A$11:$BN$18,MATCH(Summary!AI$1,'RA10-Codisposal Slopes'!$A$9:$BN$9,1),FALSE),0)+IFERROR(VLOOKUP($B21,'IA1-Final Void inc Ramps'!$A$11:$BN$18,MATCH(Summary!AI$1,'IA1-Final Void inc Ramps'!$A$9:$BN$9,1),FALSE),0)</f>
        <v>314</v>
      </c>
      <c r="AJ21" s="47">
        <f>IFERROR(VLOOKUP($B21,'RA1- Elevated Dumps Upper'!$A$11:$BN$18,MATCH(Summary!AJ$1,'RA1- Elevated Dumps Upper'!$A$9:$BN$9,1),FALSE),0)+IFERROR(VLOOKUP($B21,'RA2-Elevated Dumps Slopes'!$A$11:$BN$18,MATCH(Summary!AJ$1,'RA2-Elevated Dumps Slopes'!$A$9:$BN$9,1),FALSE),0)+IFERROR(VLOOKUP($B21,'RA3-Backfilled Pits'!$A$11:$BN$18,MATCH(Summary!AJ$1,'RA3-Backfilled Pits'!$A$9:$BN$9,1),FALSE),0)+IFERROR(VLOOKUP($B21,'RA4-Tracks_Roads'!$A$11:$BN$18,MATCH(Summary!AJ$1,'RA4-Tracks_Roads'!$A$9:$BN$9,1),FALSE),0)+IFERROR(VLOOKUP($B21,'RA5-ROM'!$A$11:$BN$18,MATCH(Summary!AJ$1,'RA5-ROM'!$A$9:$BN$9,1),FALSE),0)+IFERROR(VLOOKUP($B21,'RA6-CHPP'!$A$11:$BN$18,MATCH(Summary!AJ$1,'RA6-CHPP'!$A$9:$BN$9,1),FALSE),0)+IFERROR(VLOOKUP($B21,'RA7-Mine Infrastructure Area'!$A$11:$BN$18,MATCH(Summary!AJ$1,'RA7-Mine Infrastructure Area'!$A$9:$BN$9,1),FALSE),0)+IFERROR(VLOOKUP($B21,'RA8-Water Management Structures'!$A$11:$BN$18,MATCH(Summary!AJ$1,'RA8-Water Management Structures'!$A$9:$BN$9,1),FALSE),0)+IFERROR(VLOOKUP($B21,'RA9-Codisposal Upper'!$A$11:$BN$18,MATCH(Summary!AJ$1,'RA9-Codisposal Upper'!$A$9:$BN$9,1),FALSE),0)+IFERROR(VLOOKUP($B21,'RA10-Codisposal Slopes'!$A$11:$BN$18,MATCH(Summary!AJ$1,'RA10-Codisposal Slopes'!$A$9:$BN$9,1),FALSE),0)+IFERROR(VLOOKUP($B21,'IA1-Final Void inc Ramps'!$A$11:$BN$18,MATCH(Summary!AJ$1,'IA1-Final Void inc Ramps'!$A$9:$BN$9,1),FALSE),0)</f>
        <v>314</v>
      </c>
      <c r="AK21" s="47">
        <f>IFERROR(VLOOKUP($B21,'RA1- Elevated Dumps Upper'!$A$11:$BN$18,MATCH(Summary!AK$1,'RA1- Elevated Dumps Upper'!$A$9:$BN$9,1),FALSE),0)+IFERROR(VLOOKUP($B21,'RA2-Elevated Dumps Slopes'!$A$11:$BN$18,MATCH(Summary!AK$1,'RA2-Elevated Dumps Slopes'!$A$9:$BN$9,1),FALSE),0)+IFERROR(VLOOKUP($B21,'RA3-Backfilled Pits'!$A$11:$BN$18,MATCH(Summary!AK$1,'RA3-Backfilled Pits'!$A$9:$BN$9,1),FALSE),0)+IFERROR(VLOOKUP($B21,'RA4-Tracks_Roads'!$A$11:$BN$18,MATCH(Summary!AK$1,'RA4-Tracks_Roads'!$A$9:$BN$9,1),FALSE),0)+IFERROR(VLOOKUP($B21,'RA5-ROM'!$A$11:$BN$18,MATCH(Summary!AK$1,'RA5-ROM'!$A$9:$BN$9,1),FALSE),0)+IFERROR(VLOOKUP($B21,'RA6-CHPP'!$A$11:$BN$18,MATCH(Summary!AK$1,'RA6-CHPP'!$A$9:$BN$9,1),FALSE),0)+IFERROR(VLOOKUP($B21,'RA7-Mine Infrastructure Area'!$A$11:$BN$18,MATCH(Summary!AK$1,'RA7-Mine Infrastructure Area'!$A$9:$BN$9,1),FALSE),0)+IFERROR(VLOOKUP($B21,'RA8-Water Management Structures'!$A$11:$BN$18,MATCH(Summary!AK$1,'RA8-Water Management Structures'!$A$9:$BN$9,1),FALSE),0)+IFERROR(VLOOKUP($B21,'RA9-Codisposal Upper'!$A$11:$BN$18,MATCH(Summary!AK$1,'RA9-Codisposal Upper'!$A$9:$BN$9,1),FALSE),0)+IFERROR(VLOOKUP($B21,'RA10-Codisposal Slopes'!$A$11:$BN$18,MATCH(Summary!AK$1,'RA10-Codisposal Slopes'!$A$9:$BN$9,1),FALSE),0)+IFERROR(VLOOKUP($B21,'IA1-Final Void inc Ramps'!$A$11:$BN$18,MATCH(Summary!AK$1,'IA1-Final Void inc Ramps'!$A$9:$BN$9,1),FALSE),0)</f>
        <v>314</v>
      </c>
      <c r="AL21" s="47">
        <f>IFERROR(VLOOKUP($B21,'RA1- Elevated Dumps Upper'!$A$11:$BN$18,MATCH(Summary!AL$1,'RA1- Elevated Dumps Upper'!$A$9:$BN$9,1),FALSE),0)+IFERROR(VLOOKUP($B21,'RA2-Elevated Dumps Slopes'!$A$11:$BN$18,MATCH(Summary!AL$1,'RA2-Elevated Dumps Slopes'!$A$9:$BN$9,1),FALSE),0)+IFERROR(VLOOKUP($B21,'RA3-Backfilled Pits'!$A$11:$BN$18,MATCH(Summary!AL$1,'RA3-Backfilled Pits'!$A$9:$BN$9,1),FALSE),0)+IFERROR(VLOOKUP($B21,'RA4-Tracks_Roads'!$A$11:$BN$18,MATCH(Summary!AL$1,'RA4-Tracks_Roads'!$A$9:$BN$9,1),FALSE),0)+IFERROR(VLOOKUP($B21,'RA5-ROM'!$A$11:$BN$18,MATCH(Summary!AL$1,'RA5-ROM'!$A$9:$BN$9,1),FALSE),0)+IFERROR(VLOOKUP($B21,'RA6-CHPP'!$A$11:$BN$18,MATCH(Summary!AL$1,'RA6-CHPP'!$A$9:$BN$9,1),FALSE),0)+IFERROR(VLOOKUP($B21,'RA7-Mine Infrastructure Area'!$A$11:$BN$18,MATCH(Summary!AL$1,'RA7-Mine Infrastructure Area'!$A$9:$BN$9,1),FALSE),0)+IFERROR(VLOOKUP($B21,'RA8-Water Management Structures'!$A$11:$BN$18,MATCH(Summary!AL$1,'RA8-Water Management Structures'!$A$9:$BN$9,1),FALSE),0)+IFERROR(VLOOKUP($B21,'RA9-Codisposal Upper'!$A$11:$BN$18,MATCH(Summary!AL$1,'RA9-Codisposal Upper'!$A$9:$BN$9,1),FALSE),0)+IFERROR(VLOOKUP($B21,'RA10-Codisposal Slopes'!$A$11:$BN$18,MATCH(Summary!AL$1,'RA10-Codisposal Slopes'!$A$9:$BN$9,1),FALSE),0)+IFERROR(VLOOKUP($B21,'IA1-Final Void inc Ramps'!$A$11:$BN$18,MATCH(Summary!AL$1,'IA1-Final Void inc Ramps'!$A$9:$BN$9,1),FALSE),0)</f>
        <v>314</v>
      </c>
      <c r="AM21" s="47">
        <f>IFERROR(VLOOKUP($B21,'RA1- Elevated Dumps Upper'!$A$11:$BN$18,MATCH(Summary!AM$1,'RA1- Elevated Dumps Upper'!$A$9:$BN$9,1),FALSE),0)+IFERROR(VLOOKUP($B21,'RA2-Elevated Dumps Slopes'!$A$11:$BN$18,MATCH(Summary!AM$1,'RA2-Elevated Dumps Slopes'!$A$9:$BN$9,1),FALSE),0)+IFERROR(VLOOKUP($B21,'RA3-Backfilled Pits'!$A$11:$BN$18,MATCH(Summary!AM$1,'RA3-Backfilled Pits'!$A$9:$BN$9,1),FALSE),0)+IFERROR(VLOOKUP($B21,'RA4-Tracks_Roads'!$A$11:$BN$18,MATCH(Summary!AM$1,'RA4-Tracks_Roads'!$A$9:$BN$9,1),FALSE),0)+IFERROR(VLOOKUP($B21,'RA5-ROM'!$A$11:$BN$18,MATCH(Summary!AM$1,'RA5-ROM'!$A$9:$BN$9,1),FALSE),0)+IFERROR(VLOOKUP($B21,'RA6-CHPP'!$A$11:$BN$18,MATCH(Summary!AM$1,'RA6-CHPP'!$A$9:$BN$9,1),FALSE),0)+IFERROR(VLOOKUP($B21,'RA7-Mine Infrastructure Area'!$A$11:$BN$18,MATCH(Summary!AM$1,'RA7-Mine Infrastructure Area'!$A$9:$BN$9,1),FALSE),0)+IFERROR(VLOOKUP($B21,'RA8-Water Management Structures'!$A$11:$BN$18,MATCH(Summary!AM$1,'RA8-Water Management Structures'!$A$9:$BN$9,1),FALSE),0)+IFERROR(VLOOKUP($B21,'RA9-Codisposal Upper'!$A$11:$BN$18,MATCH(Summary!AM$1,'RA9-Codisposal Upper'!$A$9:$BN$9,1),FALSE),0)+IFERROR(VLOOKUP($B21,'RA10-Codisposal Slopes'!$A$11:$BN$18,MATCH(Summary!AM$1,'RA10-Codisposal Slopes'!$A$9:$BN$9,1),FALSE),0)+IFERROR(VLOOKUP($B21,'IA1-Final Void inc Ramps'!$A$11:$BN$18,MATCH(Summary!AM$1,'IA1-Final Void inc Ramps'!$A$9:$BN$9,1),FALSE),0)</f>
        <v>314</v>
      </c>
      <c r="AN21" s="47">
        <f>IFERROR(VLOOKUP($B21,'RA1- Elevated Dumps Upper'!$A$11:$BN$18,MATCH(Summary!AN$1,'RA1- Elevated Dumps Upper'!$A$9:$BN$9,1),FALSE),0)+IFERROR(VLOOKUP($B21,'RA2-Elevated Dumps Slopes'!$A$11:$BN$18,MATCH(Summary!AN$1,'RA2-Elevated Dumps Slopes'!$A$9:$BN$9,1),FALSE),0)+IFERROR(VLOOKUP($B21,'RA3-Backfilled Pits'!$A$11:$BN$18,MATCH(Summary!AN$1,'RA3-Backfilled Pits'!$A$9:$BN$9,1),FALSE),0)+IFERROR(VLOOKUP($B21,'RA4-Tracks_Roads'!$A$11:$BN$18,MATCH(Summary!AN$1,'RA4-Tracks_Roads'!$A$9:$BN$9,1),FALSE),0)+IFERROR(VLOOKUP($B21,'RA5-ROM'!$A$11:$BN$18,MATCH(Summary!AN$1,'RA5-ROM'!$A$9:$BN$9,1),FALSE),0)+IFERROR(VLOOKUP($B21,'RA6-CHPP'!$A$11:$BN$18,MATCH(Summary!AN$1,'RA6-CHPP'!$A$9:$BN$9,1),FALSE),0)+IFERROR(VLOOKUP($B21,'RA7-Mine Infrastructure Area'!$A$11:$BN$18,MATCH(Summary!AN$1,'RA7-Mine Infrastructure Area'!$A$9:$BN$9,1),FALSE),0)+IFERROR(VLOOKUP($B21,'RA8-Water Management Structures'!$A$11:$BN$18,MATCH(Summary!AN$1,'RA8-Water Management Structures'!$A$9:$BN$9,1),FALSE),0)+IFERROR(VLOOKUP($B21,'RA9-Codisposal Upper'!$A$11:$BN$18,MATCH(Summary!AN$1,'RA9-Codisposal Upper'!$A$9:$BN$9,1),FALSE),0)+IFERROR(VLOOKUP($B21,'RA10-Codisposal Slopes'!$A$11:$BN$18,MATCH(Summary!AN$1,'RA10-Codisposal Slopes'!$A$9:$BN$9,1),FALSE),0)+IFERROR(VLOOKUP($B21,'IA1-Final Void inc Ramps'!$A$11:$BN$18,MATCH(Summary!AN$1,'IA1-Final Void inc Ramps'!$A$9:$BN$9,1),FALSE),0)</f>
        <v>314</v>
      </c>
      <c r="AO21" s="47">
        <f>IFERROR(VLOOKUP($B21,'RA1- Elevated Dumps Upper'!$A$11:$BN$18,MATCH(Summary!AO$1,'RA1- Elevated Dumps Upper'!$A$9:$BN$9,1),FALSE),0)+IFERROR(VLOOKUP($B21,'RA2-Elevated Dumps Slopes'!$A$11:$BN$18,MATCH(Summary!AO$1,'RA2-Elevated Dumps Slopes'!$A$9:$BN$9,1),FALSE),0)+IFERROR(VLOOKUP($B21,'RA3-Backfilled Pits'!$A$11:$BN$18,MATCH(Summary!AO$1,'RA3-Backfilled Pits'!$A$9:$BN$9,1),FALSE),0)+IFERROR(VLOOKUP($B21,'RA4-Tracks_Roads'!$A$11:$BN$18,MATCH(Summary!AO$1,'RA4-Tracks_Roads'!$A$9:$BN$9,1),FALSE),0)+IFERROR(VLOOKUP($B21,'RA5-ROM'!$A$11:$BN$18,MATCH(Summary!AO$1,'RA5-ROM'!$A$9:$BN$9,1),FALSE),0)+IFERROR(VLOOKUP($B21,'RA6-CHPP'!$A$11:$BN$18,MATCH(Summary!AO$1,'RA6-CHPP'!$A$9:$BN$9,1),FALSE),0)+IFERROR(VLOOKUP($B21,'RA7-Mine Infrastructure Area'!$A$11:$BN$18,MATCH(Summary!AO$1,'RA7-Mine Infrastructure Area'!$A$9:$BN$9,1),FALSE),0)+IFERROR(VLOOKUP($B21,'RA8-Water Management Structures'!$A$11:$BN$18,MATCH(Summary!AO$1,'RA8-Water Management Structures'!$A$9:$BN$9,1),FALSE),0)+IFERROR(VLOOKUP($B21,'RA9-Codisposal Upper'!$A$11:$BN$18,MATCH(Summary!AO$1,'RA9-Codisposal Upper'!$A$9:$BN$9,1),FALSE),0)+IFERROR(VLOOKUP($B21,'RA10-Codisposal Slopes'!$A$11:$BN$18,MATCH(Summary!AO$1,'RA10-Codisposal Slopes'!$A$9:$BN$9,1),FALSE),0)+IFERROR(VLOOKUP($B21,'IA1-Final Void inc Ramps'!$A$11:$BN$18,MATCH(Summary!AO$1,'IA1-Final Void inc Ramps'!$A$9:$BN$9,1),FALSE),0)</f>
        <v>314</v>
      </c>
      <c r="AP21" s="47">
        <f>IFERROR(VLOOKUP($B21,'RA1- Elevated Dumps Upper'!$A$11:$BN$18,MATCH(Summary!AP$1,'RA1- Elevated Dumps Upper'!$A$9:$BN$9,1),FALSE),0)+IFERROR(VLOOKUP($B21,'RA2-Elevated Dumps Slopes'!$A$11:$BN$18,MATCH(Summary!AP$1,'RA2-Elevated Dumps Slopes'!$A$9:$BN$9,1),FALSE),0)+IFERROR(VLOOKUP($B21,'RA3-Backfilled Pits'!$A$11:$BN$18,MATCH(Summary!AP$1,'RA3-Backfilled Pits'!$A$9:$BN$9,1),FALSE),0)+IFERROR(VLOOKUP($B21,'RA4-Tracks_Roads'!$A$11:$BN$18,MATCH(Summary!AP$1,'RA4-Tracks_Roads'!$A$9:$BN$9,1),FALSE),0)+IFERROR(VLOOKUP($B21,'RA5-ROM'!$A$11:$BN$18,MATCH(Summary!AP$1,'RA5-ROM'!$A$9:$BN$9,1),FALSE),0)+IFERROR(VLOOKUP($B21,'RA6-CHPP'!$A$11:$BN$18,MATCH(Summary!AP$1,'RA6-CHPP'!$A$9:$BN$9,1),FALSE),0)+IFERROR(VLOOKUP($B21,'RA7-Mine Infrastructure Area'!$A$11:$BN$18,MATCH(Summary!AP$1,'RA7-Mine Infrastructure Area'!$A$9:$BN$9,1),FALSE),0)+IFERROR(VLOOKUP($B21,'RA8-Water Management Structures'!$A$11:$BN$18,MATCH(Summary!AP$1,'RA8-Water Management Structures'!$A$9:$BN$9,1),FALSE),0)+IFERROR(VLOOKUP($B21,'RA9-Codisposal Upper'!$A$11:$BN$18,MATCH(Summary!AP$1,'RA9-Codisposal Upper'!$A$9:$BN$9,1),FALSE),0)+IFERROR(VLOOKUP($B21,'RA10-Codisposal Slopes'!$A$11:$BN$18,MATCH(Summary!AP$1,'RA10-Codisposal Slopes'!$A$9:$BN$9,1),FALSE),0)+IFERROR(VLOOKUP($B21,'IA1-Final Void inc Ramps'!$A$11:$BN$18,MATCH(Summary!AP$1,'IA1-Final Void inc Ramps'!$A$9:$BN$9,1),FALSE),0)</f>
        <v>338</v>
      </c>
      <c r="AQ21" s="47">
        <f>IFERROR(VLOOKUP($B21,'RA1- Elevated Dumps Upper'!$A$11:$BN$18,MATCH(Summary!AQ$1,'RA1- Elevated Dumps Upper'!$A$9:$BN$9,1),FALSE),0)+IFERROR(VLOOKUP($B21,'RA2-Elevated Dumps Slopes'!$A$11:$BN$18,MATCH(Summary!AQ$1,'RA2-Elevated Dumps Slopes'!$A$9:$BN$9,1),FALSE),0)+IFERROR(VLOOKUP($B21,'RA3-Backfilled Pits'!$A$11:$BN$18,MATCH(Summary!AQ$1,'RA3-Backfilled Pits'!$A$9:$BN$9,1),FALSE),0)+IFERROR(VLOOKUP($B21,'RA4-Tracks_Roads'!$A$11:$BN$18,MATCH(Summary!AQ$1,'RA4-Tracks_Roads'!$A$9:$BN$9,1),FALSE),0)+IFERROR(VLOOKUP($B21,'RA5-ROM'!$A$11:$BN$18,MATCH(Summary!AQ$1,'RA5-ROM'!$A$9:$BN$9,1),FALSE),0)+IFERROR(VLOOKUP($B21,'RA6-CHPP'!$A$11:$BN$18,MATCH(Summary!AQ$1,'RA6-CHPP'!$A$9:$BN$9,1),FALSE),0)+IFERROR(VLOOKUP($B21,'RA7-Mine Infrastructure Area'!$A$11:$BN$18,MATCH(Summary!AQ$1,'RA7-Mine Infrastructure Area'!$A$9:$BN$9,1),FALSE),0)+IFERROR(VLOOKUP($B21,'RA8-Water Management Structures'!$A$11:$BN$18,MATCH(Summary!AQ$1,'RA8-Water Management Structures'!$A$9:$BN$9,1),FALSE),0)+IFERROR(VLOOKUP($B21,'RA9-Codisposal Upper'!$A$11:$BN$18,MATCH(Summary!AQ$1,'RA9-Codisposal Upper'!$A$9:$BN$9,1),FALSE),0)+IFERROR(VLOOKUP($B21,'RA10-Codisposal Slopes'!$A$11:$BN$18,MATCH(Summary!AQ$1,'RA10-Codisposal Slopes'!$A$9:$BN$9,1),FALSE),0)+IFERROR(VLOOKUP($B21,'IA1-Final Void inc Ramps'!$A$11:$BN$18,MATCH(Summary!AQ$1,'IA1-Final Void inc Ramps'!$A$9:$BN$9,1),FALSE),0)</f>
        <v>449</v>
      </c>
      <c r="AR21" s="47">
        <f>IFERROR(VLOOKUP($B21,'RA1- Elevated Dumps Upper'!$A$11:$BN$18,MATCH(Summary!AR$1,'RA1- Elevated Dumps Upper'!$A$9:$BN$9,1),FALSE),0)+IFERROR(VLOOKUP($B21,'RA2-Elevated Dumps Slopes'!$A$11:$BN$18,MATCH(Summary!AR$1,'RA2-Elevated Dumps Slopes'!$A$9:$BN$9,1),FALSE),0)+IFERROR(VLOOKUP($B21,'RA3-Backfilled Pits'!$A$11:$BN$18,MATCH(Summary!AR$1,'RA3-Backfilled Pits'!$A$9:$BN$9,1),FALSE),0)+IFERROR(VLOOKUP($B21,'RA4-Tracks_Roads'!$A$11:$BN$18,MATCH(Summary!AR$1,'RA4-Tracks_Roads'!$A$9:$BN$9,1),FALSE),0)+IFERROR(VLOOKUP($B21,'RA5-ROM'!$A$11:$BN$18,MATCH(Summary!AR$1,'RA5-ROM'!$A$9:$BN$9,1),FALSE),0)+IFERROR(VLOOKUP($B21,'RA6-CHPP'!$A$11:$BN$18,MATCH(Summary!AR$1,'RA6-CHPP'!$A$9:$BN$9,1),FALSE),0)+IFERROR(VLOOKUP($B21,'RA7-Mine Infrastructure Area'!$A$11:$BN$18,MATCH(Summary!AR$1,'RA7-Mine Infrastructure Area'!$A$9:$BN$9,1),FALSE),0)+IFERROR(VLOOKUP($B21,'RA8-Water Management Structures'!$A$11:$BN$18,MATCH(Summary!AR$1,'RA8-Water Management Structures'!$A$9:$BN$9,1),FALSE),0)+IFERROR(VLOOKUP($B21,'RA9-Codisposal Upper'!$A$11:$BN$18,MATCH(Summary!AR$1,'RA9-Codisposal Upper'!$A$9:$BN$9,1),FALSE),0)+IFERROR(VLOOKUP($B21,'RA10-Codisposal Slopes'!$A$11:$BN$18,MATCH(Summary!AR$1,'RA10-Codisposal Slopes'!$A$9:$BN$9,1),FALSE),0)+IFERROR(VLOOKUP($B21,'IA1-Final Void inc Ramps'!$A$11:$BN$18,MATCH(Summary!AR$1,'IA1-Final Void inc Ramps'!$A$9:$BN$9,1),FALSE),0)</f>
        <v>477.00299999999999</v>
      </c>
      <c r="AS21" s="47">
        <f>IFERROR(VLOOKUP($B21,'RA1- Elevated Dumps Upper'!$A$11:$BN$18,MATCH(Summary!AS$1,'RA1- Elevated Dumps Upper'!$A$9:$BN$9,1),FALSE),0)+IFERROR(VLOOKUP($B21,'RA2-Elevated Dumps Slopes'!$A$11:$BN$18,MATCH(Summary!AS$1,'RA2-Elevated Dumps Slopes'!$A$9:$BN$9,1),FALSE),0)+IFERROR(VLOOKUP($B21,'RA3-Backfilled Pits'!$A$11:$BN$18,MATCH(Summary!AS$1,'RA3-Backfilled Pits'!$A$9:$BN$9,1),FALSE),0)+IFERROR(VLOOKUP($B21,'RA4-Tracks_Roads'!$A$11:$BN$18,MATCH(Summary!AS$1,'RA4-Tracks_Roads'!$A$9:$BN$9,1),FALSE),0)+IFERROR(VLOOKUP($B21,'RA5-ROM'!$A$11:$BN$18,MATCH(Summary!AS$1,'RA5-ROM'!$A$9:$BN$9,1),FALSE),0)+IFERROR(VLOOKUP($B21,'RA6-CHPP'!$A$11:$BN$18,MATCH(Summary!AS$1,'RA6-CHPP'!$A$9:$BN$9,1),FALSE),0)+IFERROR(VLOOKUP($B21,'RA7-Mine Infrastructure Area'!$A$11:$BN$18,MATCH(Summary!AS$1,'RA7-Mine Infrastructure Area'!$A$9:$BN$9,1),FALSE),0)+IFERROR(VLOOKUP($B21,'RA8-Water Management Structures'!$A$11:$BN$18,MATCH(Summary!AS$1,'RA8-Water Management Structures'!$A$9:$BN$9,1),FALSE),0)+IFERROR(VLOOKUP($B21,'RA9-Codisposal Upper'!$A$11:$BN$18,MATCH(Summary!AS$1,'RA9-Codisposal Upper'!$A$9:$BN$9,1),FALSE),0)+IFERROR(VLOOKUP($B21,'RA10-Codisposal Slopes'!$A$11:$BN$18,MATCH(Summary!AS$1,'RA10-Codisposal Slopes'!$A$9:$BN$9,1),FALSE),0)+IFERROR(VLOOKUP($B21,'IA1-Final Void inc Ramps'!$A$11:$BN$18,MATCH(Summary!AS$1,'IA1-Final Void inc Ramps'!$A$9:$BN$9,1),FALSE),0)</f>
        <v>569.90300000000002</v>
      </c>
      <c r="AT21" s="47">
        <f>IFERROR(VLOOKUP($B21,'RA1- Elevated Dumps Upper'!$A$11:$BN$18,MATCH(Summary!AT$1,'RA1- Elevated Dumps Upper'!$A$9:$BN$9,1),FALSE),0)+IFERROR(VLOOKUP($B21,'RA2-Elevated Dumps Slopes'!$A$11:$BN$18,MATCH(Summary!AT$1,'RA2-Elevated Dumps Slopes'!$A$9:$BN$9,1),FALSE),0)+IFERROR(VLOOKUP($B21,'RA3-Backfilled Pits'!$A$11:$BN$18,MATCH(Summary!AT$1,'RA3-Backfilled Pits'!$A$9:$BN$9,1),FALSE),0)+IFERROR(VLOOKUP($B21,'RA4-Tracks_Roads'!$A$11:$BN$18,MATCH(Summary!AT$1,'RA4-Tracks_Roads'!$A$9:$BN$9,1),FALSE),0)+IFERROR(VLOOKUP($B21,'RA5-ROM'!$A$11:$BN$18,MATCH(Summary!AT$1,'RA5-ROM'!$A$9:$BN$9,1),FALSE),0)+IFERROR(VLOOKUP($B21,'RA6-CHPP'!$A$11:$BN$18,MATCH(Summary!AT$1,'RA6-CHPP'!$A$9:$BN$9,1),FALSE),0)+IFERROR(VLOOKUP($B21,'RA7-Mine Infrastructure Area'!$A$11:$BN$18,MATCH(Summary!AT$1,'RA7-Mine Infrastructure Area'!$A$9:$BN$9,1),FALSE),0)+IFERROR(VLOOKUP($B21,'RA8-Water Management Structures'!$A$11:$BN$18,MATCH(Summary!AT$1,'RA8-Water Management Structures'!$A$9:$BN$9,1),FALSE),0)+IFERROR(VLOOKUP($B21,'RA9-Codisposal Upper'!$A$11:$BN$18,MATCH(Summary!AT$1,'RA9-Codisposal Upper'!$A$9:$BN$9,1),FALSE),0)+IFERROR(VLOOKUP($B21,'RA10-Codisposal Slopes'!$A$11:$BN$18,MATCH(Summary!AT$1,'RA10-Codisposal Slopes'!$A$9:$BN$9,1),FALSE),0)+IFERROR(VLOOKUP($B21,'IA1-Final Void inc Ramps'!$A$11:$BN$18,MATCH(Summary!AT$1,'IA1-Final Void inc Ramps'!$A$9:$BN$9,1),FALSE),0)</f>
        <v>569.90300000000002</v>
      </c>
      <c r="AU21" s="47">
        <f>IFERROR(VLOOKUP($B21,'RA1- Elevated Dumps Upper'!$A$11:$BN$18,MATCH(Summary!AU$1,'RA1- Elevated Dumps Upper'!$A$9:$BN$9,1),FALSE),0)+IFERROR(VLOOKUP($B21,'RA2-Elevated Dumps Slopes'!$A$11:$BN$18,MATCH(Summary!AU$1,'RA2-Elevated Dumps Slopes'!$A$9:$BN$9,1),FALSE),0)+IFERROR(VLOOKUP($B21,'RA3-Backfilled Pits'!$A$11:$BN$18,MATCH(Summary!AU$1,'RA3-Backfilled Pits'!$A$9:$BN$9,1),FALSE),0)+IFERROR(VLOOKUP($B21,'RA4-Tracks_Roads'!$A$11:$BN$18,MATCH(Summary!AU$1,'RA4-Tracks_Roads'!$A$9:$BN$9,1),FALSE),0)+IFERROR(VLOOKUP($B21,'RA5-ROM'!$A$11:$BN$18,MATCH(Summary!AU$1,'RA5-ROM'!$A$9:$BN$9,1),FALSE),0)+IFERROR(VLOOKUP($B21,'RA6-CHPP'!$A$11:$BN$18,MATCH(Summary!AU$1,'RA6-CHPP'!$A$9:$BN$9,1),FALSE),0)+IFERROR(VLOOKUP($B21,'RA7-Mine Infrastructure Area'!$A$11:$BN$18,MATCH(Summary!AU$1,'RA7-Mine Infrastructure Area'!$A$9:$BN$9,1),FALSE),0)+IFERROR(VLOOKUP($B21,'RA8-Water Management Structures'!$A$11:$BN$18,MATCH(Summary!AU$1,'RA8-Water Management Structures'!$A$9:$BN$9,1),FALSE),0)+IFERROR(VLOOKUP($B21,'RA9-Codisposal Upper'!$A$11:$BN$18,MATCH(Summary!AU$1,'RA9-Codisposal Upper'!$A$9:$BN$9,1),FALSE),0)+IFERROR(VLOOKUP($B21,'RA10-Codisposal Slopes'!$A$11:$BN$18,MATCH(Summary!AU$1,'RA10-Codisposal Slopes'!$A$9:$BN$9,1),FALSE),0)+IFERROR(VLOOKUP($B21,'IA1-Final Void inc Ramps'!$A$11:$BN$18,MATCH(Summary!AU$1,'IA1-Final Void inc Ramps'!$A$9:$BN$9,1),FALSE),0)</f>
        <v>569.90300000000002</v>
      </c>
      <c r="AV21" s="47">
        <f>IFERROR(VLOOKUP($B21,'RA1- Elevated Dumps Upper'!$A$11:$BN$18,MATCH(Summary!AV$1,'RA1- Elevated Dumps Upper'!$A$9:$BN$9,1),FALSE),0)+IFERROR(VLOOKUP($B21,'RA2-Elevated Dumps Slopes'!$A$11:$BN$18,MATCH(Summary!AV$1,'RA2-Elevated Dumps Slopes'!$A$9:$BN$9,1),FALSE),0)+IFERROR(VLOOKUP($B21,'RA3-Backfilled Pits'!$A$11:$BN$18,MATCH(Summary!AV$1,'RA3-Backfilled Pits'!$A$9:$BN$9,1),FALSE),0)+IFERROR(VLOOKUP($B21,'RA4-Tracks_Roads'!$A$11:$BN$18,MATCH(Summary!AV$1,'RA4-Tracks_Roads'!$A$9:$BN$9,1),FALSE),0)+IFERROR(VLOOKUP($B21,'RA5-ROM'!$A$11:$BN$18,MATCH(Summary!AV$1,'RA5-ROM'!$A$9:$BN$9,1),FALSE),0)+IFERROR(VLOOKUP($B21,'RA6-CHPP'!$A$11:$BN$18,MATCH(Summary!AV$1,'RA6-CHPP'!$A$9:$BN$9,1),FALSE),0)+IFERROR(VLOOKUP($B21,'RA7-Mine Infrastructure Area'!$A$11:$BN$18,MATCH(Summary!AV$1,'RA7-Mine Infrastructure Area'!$A$9:$BN$9,1),FALSE),0)+IFERROR(VLOOKUP($B21,'RA8-Water Management Structures'!$A$11:$BN$18,MATCH(Summary!AV$1,'RA8-Water Management Structures'!$A$9:$BN$9,1),FALSE),0)+IFERROR(VLOOKUP($B21,'RA9-Codisposal Upper'!$A$11:$BN$18,MATCH(Summary!AV$1,'RA9-Codisposal Upper'!$A$9:$BN$9,1),FALSE),0)+IFERROR(VLOOKUP($B21,'RA10-Codisposal Slopes'!$A$11:$BN$18,MATCH(Summary!AV$1,'RA10-Codisposal Slopes'!$A$9:$BN$9,1),FALSE),0)+IFERROR(VLOOKUP($B21,'IA1-Final Void inc Ramps'!$A$11:$BN$18,MATCH(Summary!AV$1,'IA1-Final Void inc Ramps'!$A$9:$BN$9,1),FALSE),0)</f>
        <v>569.90300000000002</v>
      </c>
      <c r="AW21" s="47">
        <f>IFERROR(VLOOKUP($B21,'RA1- Elevated Dumps Upper'!$A$11:$BN$18,MATCH(Summary!AW$1,'RA1- Elevated Dumps Upper'!$A$9:$BN$9,1),FALSE),0)+IFERROR(VLOOKUP($B21,'RA2-Elevated Dumps Slopes'!$A$11:$BN$18,MATCH(Summary!AW$1,'RA2-Elevated Dumps Slopes'!$A$9:$BN$9,1),FALSE),0)+IFERROR(VLOOKUP($B21,'RA3-Backfilled Pits'!$A$11:$BN$18,MATCH(Summary!AW$1,'RA3-Backfilled Pits'!$A$9:$BN$9,1),FALSE),0)+IFERROR(VLOOKUP($B21,'RA4-Tracks_Roads'!$A$11:$BN$18,MATCH(Summary!AW$1,'RA4-Tracks_Roads'!$A$9:$BN$9,1),FALSE),0)+IFERROR(VLOOKUP($B21,'RA5-ROM'!$A$11:$BN$18,MATCH(Summary!AW$1,'RA5-ROM'!$A$9:$BN$9,1),FALSE),0)+IFERROR(VLOOKUP($B21,'RA6-CHPP'!$A$11:$BN$18,MATCH(Summary!AW$1,'RA6-CHPP'!$A$9:$BN$9,1),FALSE),0)+IFERROR(VLOOKUP($B21,'RA7-Mine Infrastructure Area'!$A$11:$BN$18,MATCH(Summary!AW$1,'RA7-Mine Infrastructure Area'!$A$9:$BN$9,1),FALSE),0)+IFERROR(VLOOKUP($B21,'RA8-Water Management Structures'!$A$11:$BN$18,MATCH(Summary!AW$1,'RA8-Water Management Structures'!$A$9:$BN$9,1),FALSE),0)+IFERROR(VLOOKUP($B21,'RA9-Codisposal Upper'!$A$11:$BN$18,MATCH(Summary!AW$1,'RA9-Codisposal Upper'!$A$9:$BN$9,1),FALSE),0)+IFERROR(VLOOKUP($B21,'RA10-Codisposal Slopes'!$A$11:$BN$18,MATCH(Summary!AW$1,'RA10-Codisposal Slopes'!$A$9:$BN$9,1),FALSE),0)+IFERROR(VLOOKUP($B21,'IA1-Final Void inc Ramps'!$A$11:$BN$18,MATCH(Summary!AW$1,'IA1-Final Void inc Ramps'!$A$9:$BN$9,1),FALSE),0)</f>
        <v>569.90300000000002</v>
      </c>
      <c r="AX21" s="47">
        <f>IFERROR(VLOOKUP($B21,'RA1- Elevated Dumps Upper'!$A$11:$BN$18,MATCH(Summary!AX$1,'RA1- Elevated Dumps Upper'!$A$9:$BN$9,1),FALSE),0)+IFERROR(VLOOKUP($B21,'RA2-Elevated Dumps Slopes'!$A$11:$BN$18,MATCH(Summary!AX$1,'RA2-Elevated Dumps Slopes'!$A$9:$BN$9,1),FALSE),0)+IFERROR(VLOOKUP($B21,'RA3-Backfilled Pits'!$A$11:$BN$18,MATCH(Summary!AX$1,'RA3-Backfilled Pits'!$A$9:$BN$9,1),FALSE),0)+IFERROR(VLOOKUP($B21,'RA4-Tracks_Roads'!$A$11:$BN$18,MATCH(Summary!AX$1,'RA4-Tracks_Roads'!$A$9:$BN$9,1),FALSE),0)+IFERROR(VLOOKUP($B21,'RA5-ROM'!$A$11:$BN$18,MATCH(Summary!AX$1,'RA5-ROM'!$A$9:$BN$9,1),FALSE),0)+IFERROR(VLOOKUP($B21,'RA6-CHPP'!$A$11:$BN$18,MATCH(Summary!AX$1,'RA6-CHPP'!$A$9:$BN$9,1),FALSE),0)+IFERROR(VLOOKUP($B21,'RA7-Mine Infrastructure Area'!$A$11:$BN$18,MATCH(Summary!AX$1,'RA7-Mine Infrastructure Area'!$A$9:$BN$9,1),FALSE),0)+IFERROR(VLOOKUP($B21,'RA8-Water Management Structures'!$A$11:$BN$18,MATCH(Summary!AX$1,'RA8-Water Management Structures'!$A$9:$BN$9,1),FALSE),0)+IFERROR(VLOOKUP($B21,'RA9-Codisposal Upper'!$A$11:$BN$18,MATCH(Summary!AX$1,'RA9-Codisposal Upper'!$A$9:$BN$9,1),FALSE),0)+IFERROR(VLOOKUP($B21,'RA10-Codisposal Slopes'!$A$11:$BN$18,MATCH(Summary!AX$1,'RA10-Codisposal Slopes'!$A$9:$BN$9,1),FALSE),0)+IFERROR(VLOOKUP($B21,'IA1-Final Void inc Ramps'!$A$11:$BN$18,MATCH(Summary!AX$1,'IA1-Final Void inc Ramps'!$A$9:$BN$9,1),FALSE),0)</f>
        <v>569.90300000000002</v>
      </c>
      <c r="AY21" s="47">
        <f>IFERROR(VLOOKUP($B21,'RA1- Elevated Dumps Upper'!$A$11:$BN$18,MATCH(Summary!AY$1,'RA1- Elevated Dumps Upper'!$A$9:$BN$9,1),FALSE),0)+IFERROR(VLOOKUP($B21,'RA2-Elevated Dumps Slopes'!$A$11:$BN$18,MATCH(Summary!AY$1,'RA2-Elevated Dumps Slopes'!$A$9:$BN$9,1),FALSE),0)+IFERROR(VLOOKUP($B21,'RA3-Backfilled Pits'!$A$11:$BN$18,MATCH(Summary!AY$1,'RA3-Backfilled Pits'!$A$9:$BN$9,1),FALSE),0)+IFERROR(VLOOKUP($B21,'RA4-Tracks_Roads'!$A$11:$BN$18,MATCH(Summary!AY$1,'RA4-Tracks_Roads'!$A$9:$BN$9,1),FALSE),0)+IFERROR(VLOOKUP($B21,'RA5-ROM'!$A$11:$BN$18,MATCH(Summary!AY$1,'RA5-ROM'!$A$9:$BN$9,1),FALSE),0)+IFERROR(VLOOKUP($B21,'RA6-CHPP'!$A$11:$BN$18,MATCH(Summary!AY$1,'RA6-CHPP'!$A$9:$BN$9,1),FALSE),0)+IFERROR(VLOOKUP($B21,'RA7-Mine Infrastructure Area'!$A$11:$BN$18,MATCH(Summary!AY$1,'RA7-Mine Infrastructure Area'!$A$9:$BN$9,1),FALSE),0)+IFERROR(VLOOKUP($B21,'RA8-Water Management Structures'!$A$11:$BN$18,MATCH(Summary!AY$1,'RA8-Water Management Structures'!$A$9:$BN$9,1),FALSE),0)+IFERROR(VLOOKUP($B21,'RA9-Codisposal Upper'!$A$11:$BN$18,MATCH(Summary!AY$1,'RA9-Codisposal Upper'!$A$9:$BN$9,1),FALSE),0)+IFERROR(VLOOKUP($B21,'RA10-Codisposal Slopes'!$A$11:$BN$18,MATCH(Summary!AY$1,'RA10-Codisposal Slopes'!$A$9:$BN$9,1),FALSE),0)+IFERROR(VLOOKUP($B21,'IA1-Final Void inc Ramps'!$A$11:$BN$18,MATCH(Summary!AY$1,'IA1-Final Void inc Ramps'!$A$9:$BN$9,1),FALSE),0)</f>
        <v>569.90300000000002</v>
      </c>
      <c r="AZ21" s="47">
        <f>IFERROR(VLOOKUP($B21,'RA1- Elevated Dumps Upper'!$A$11:$BN$18,MATCH(Summary!AZ$1,'RA1- Elevated Dumps Upper'!$A$9:$BN$9,1),FALSE),0)+IFERROR(VLOOKUP($B21,'RA2-Elevated Dumps Slopes'!$A$11:$BN$18,MATCH(Summary!AZ$1,'RA2-Elevated Dumps Slopes'!$A$9:$BN$9,1),FALSE),0)+IFERROR(VLOOKUP($B21,'RA3-Backfilled Pits'!$A$11:$BN$18,MATCH(Summary!AZ$1,'RA3-Backfilled Pits'!$A$9:$BN$9,1),FALSE),0)+IFERROR(VLOOKUP($B21,'RA4-Tracks_Roads'!$A$11:$BN$18,MATCH(Summary!AZ$1,'RA4-Tracks_Roads'!$A$9:$BN$9,1),FALSE),0)+IFERROR(VLOOKUP($B21,'RA5-ROM'!$A$11:$BN$18,MATCH(Summary!AZ$1,'RA5-ROM'!$A$9:$BN$9,1),FALSE),0)+IFERROR(VLOOKUP($B21,'RA6-CHPP'!$A$11:$BN$18,MATCH(Summary!AZ$1,'RA6-CHPP'!$A$9:$BN$9,1),FALSE),0)+IFERROR(VLOOKUP($B21,'RA7-Mine Infrastructure Area'!$A$11:$BN$18,MATCH(Summary!AZ$1,'RA7-Mine Infrastructure Area'!$A$9:$BN$9,1),FALSE),0)+IFERROR(VLOOKUP($B21,'RA8-Water Management Structures'!$A$11:$BN$18,MATCH(Summary!AZ$1,'RA8-Water Management Structures'!$A$9:$BN$9,1),FALSE),0)+IFERROR(VLOOKUP($B21,'RA9-Codisposal Upper'!$A$11:$BN$18,MATCH(Summary!AZ$1,'RA9-Codisposal Upper'!$A$9:$BN$9,1),FALSE),0)+IFERROR(VLOOKUP($B21,'RA10-Codisposal Slopes'!$A$11:$BN$18,MATCH(Summary!AZ$1,'RA10-Codisposal Slopes'!$A$9:$BN$9,1),FALSE),0)+IFERROR(VLOOKUP($B21,'IA1-Final Void inc Ramps'!$A$11:$BN$18,MATCH(Summary!AZ$1,'IA1-Final Void inc Ramps'!$A$9:$BN$9,1),FALSE),0)</f>
        <v>569.90300000000002</v>
      </c>
      <c r="BA21" s="47">
        <f>IFERROR(VLOOKUP($B21,'RA1- Elevated Dumps Upper'!$A$11:$BN$18,MATCH(Summary!BA$1,'RA1- Elevated Dumps Upper'!$A$9:$BN$9,1),FALSE),0)+IFERROR(VLOOKUP($B21,'RA2-Elevated Dumps Slopes'!$A$11:$BN$18,MATCH(Summary!BA$1,'RA2-Elevated Dumps Slopes'!$A$9:$BN$9,1),FALSE),0)+IFERROR(VLOOKUP($B21,'RA3-Backfilled Pits'!$A$11:$BN$18,MATCH(Summary!BA$1,'RA3-Backfilled Pits'!$A$9:$BN$9,1),FALSE),0)+IFERROR(VLOOKUP($B21,'RA4-Tracks_Roads'!$A$11:$BN$18,MATCH(Summary!BA$1,'RA4-Tracks_Roads'!$A$9:$BN$9,1),FALSE),0)+IFERROR(VLOOKUP($B21,'RA5-ROM'!$A$11:$BN$18,MATCH(Summary!BA$1,'RA5-ROM'!$A$9:$BN$9,1),FALSE),0)+IFERROR(VLOOKUP($B21,'RA6-CHPP'!$A$11:$BN$18,MATCH(Summary!BA$1,'RA6-CHPP'!$A$9:$BN$9,1),FALSE),0)+IFERROR(VLOOKUP($B21,'RA7-Mine Infrastructure Area'!$A$11:$BN$18,MATCH(Summary!BA$1,'RA7-Mine Infrastructure Area'!$A$9:$BN$9,1),FALSE),0)+IFERROR(VLOOKUP($B21,'RA8-Water Management Structures'!$A$11:$BN$18,MATCH(Summary!BA$1,'RA8-Water Management Structures'!$A$9:$BN$9,1),FALSE),0)+IFERROR(VLOOKUP($B21,'RA9-Codisposal Upper'!$A$11:$BN$18,MATCH(Summary!BA$1,'RA9-Codisposal Upper'!$A$9:$BN$9,1),FALSE),0)+IFERROR(VLOOKUP($B21,'RA10-Codisposal Slopes'!$A$11:$BN$18,MATCH(Summary!BA$1,'RA10-Codisposal Slopes'!$A$9:$BN$9,1),FALSE),0)+IFERROR(VLOOKUP($B21,'IA1-Final Void inc Ramps'!$A$11:$BN$18,MATCH(Summary!BA$1,'IA1-Final Void inc Ramps'!$A$9:$BN$9,1),FALSE),0)</f>
        <v>569.90300000000002</v>
      </c>
      <c r="BB21" s="47">
        <f>IFERROR(VLOOKUP($B21,'RA1- Elevated Dumps Upper'!$A$11:$BN$18,MATCH(Summary!BB$1,'RA1- Elevated Dumps Upper'!$A$9:$BN$9,1),FALSE),0)+IFERROR(VLOOKUP($B21,'RA2-Elevated Dumps Slopes'!$A$11:$BN$18,MATCH(Summary!BB$1,'RA2-Elevated Dumps Slopes'!$A$9:$BN$9,1),FALSE),0)+IFERROR(VLOOKUP($B21,'RA3-Backfilled Pits'!$A$11:$BN$18,MATCH(Summary!BB$1,'RA3-Backfilled Pits'!$A$9:$BN$9,1),FALSE),0)+IFERROR(VLOOKUP($B21,'RA4-Tracks_Roads'!$A$11:$BN$18,MATCH(Summary!BB$1,'RA4-Tracks_Roads'!$A$9:$BN$9,1),FALSE),0)+IFERROR(VLOOKUP($B21,'RA5-ROM'!$A$11:$BN$18,MATCH(Summary!BB$1,'RA5-ROM'!$A$9:$BN$9,1),FALSE),0)+IFERROR(VLOOKUP($B21,'RA6-CHPP'!$A$11:$BN$18,MATCH(Summary!BB$1,'RA6-CHPP'!$A$9:$BN$9,1),FALSE),0)+IFERROR(VLOOKUP($B21,'RA7-Mine Infrastructure Area'!$A$11:$BN$18,MATCH(Summary!BB$1,'RA7-Mine Infrastructure Area'!$A$9:$BN$9,1),FALSE),0)+IFERROR(VLOOKUP($B21,'RA8-Water Management Structures'!$A$11:$BN$18,MATCH(Summary!BB$1,'RA8-Water Management Structures'!$A$9:$BN$9,1),FALSE),0)+IFERROR(VLOOKUP($B21,'RA9-Codisposal Upper'!$A$11:$BN$18,MATCH(Summary!BB$1,'RA9-Codisposal Upper'!$A$9:$BN$9,1),FALSE),0)+IFERROR(VLOOKUP($B21,'RA10-Codisposal Slopes'!$A$11:$BN$18,MATCH(Summary!BB$1,'RA10-Codisposal Slopes'!$A$9:$BN$9,1),FALSE),0)+IFERROR(VLOOKUP($B21,'IA1-Final Void inc Ramps'!$A$11:$BN$18,MATCH(Summary!BB$1,'IA1-Final Void inc Ramps'!$A$9:$BN$9,1),FALSE),0)</f>
        <v>569.90300000000002</v>
      </c>
      <c r="BC21" s="47">
        <f>IFERROR(VLOOKUP($B21,'RA1- Elevated Dumps Upper'!$A$11:$BN$18,MATCH(Summary!BC$1,'RA1- Elevated Dumps Upper'!$A$9:$BN$9,1),FALSE),0)+IFERROR(VLOOKUP($B21,'RA2-Elevated Dumps Slopes'!$A$11:$BN$18,MATCH(Summary!BC$1,'RA2-Elevated Dumps Slopes'!$A$9:$BN$9,1),FALSE),0)+IFERROR(VLOOKUP($B21,'RA3-Backfilled Pits'!$A$11:$BN$18,MATCH(Summary!BC$1,'RA3-Backfilled Pits'!$A$9:$BN$9,1),FALSE),0)+IFERROR(VLOOKUP($B21,'RA4-Tracks_Roads'!$A$11:$BN$18,MATCH(Summary!BC$1,'RA4-Tracks_Roads'!$A$9:$BN$9,1),FALSE),0)+IFERROR(VLOOKUP($B21,'RA5-ROM'!$A$11:$BN$18,MATCH(Summary!BC$1,'RA5-ROM'!$A$9:$BN$9,1),FALSE),0)+IFERROR(VLOOKUP($B21,'RA6-CHPP'!$A$11:$BN$18,MATCH(Summary!BC$1,'RA6-CHPP'!$A$9:$BN$9,1),FALSE),0)+IFERROR(VLOOKUP($B21,'RA7-Mine Infrastructure Area'!$A$11:$BN$18,MATCH(Summary!BC$1,'RA7-Mine Infrastructure Area'!$A$9:$BN$9,1),FALSE),0)+IFERROR(VLOOKUP($B21,'RA8-Water Management Structures'!$A$11:$BN$18,MATCH(Summary!BC$1,'RA8-Water Management Structures'!$A$9:$BN$9,1),FALSE),0)+IFERROR(VLOOKUP($B21,'RA9-Codisposal Upper'!$A$11:$BN$18,MATCH(Summary!BC$1,'RA9-Codisposal Upper'!$A$9:$BN$9,1),FALSE),0)+IFERROR(VLOOKUP($B21,'RA10-Codisposal Slopes'!$A$11:$BN$18,MATCH(Summary!BC$1,'RA10-Codisposal Slopes'!$A$9:$BN$9,1),FALSE),0)+IFERROR(VLOOKUP($B21,'IA1-Final Void inc Ramps'!$A$11:$BN$18,MATCH(Summary!BC$1,'IA1-Final Void inc Ramps'!$A$9:$BN$9,1),FALSE),0)</f>
        <v>569.90300000000002</v>
      </c>
      <c r="BD21" s="47">
        <f>IFERROR(VLOOKUP($B21,'RA1- Elevated Dumps Upper'!$A$11:$BN$18,MATCH(Summary!BD$1,'RA1- Elevated Dumps Upper'!$A$9:$BN$9,1),FALSE),0)+IFERROR(VLOOKUP($B21,'RA2-Elevated Dumps Slopes'!$A$11:$BN$18,MATCH(Summary!BD$1,'RA2-Elevated Dumps Slopes'!$A$9:$BN$9,1),FALSE),0)+IFERROR(VLOOKUP($B21,'RA3-Backfilled Pits'!$A$11:$BN$18,MATCH(Summary!BD$1,'RA3-Backfilled Pits'!$A$9:$BN$9,1),FALSE),0)+IFERROR(VLOOKUP($B21,'RA4-Tracks_Roads'!$A$11:$BN$18,MATCH(Summary!BD$1,'RA4-Tracks_Roads'!$A$9:$BN$9,1),FALSE),0)+IFERROR(VLOOKUP($B21,'RA5-ROM'!$A$11:$BN$18,MATCH(Summary!BD$1,'RA5-ROM'!$A$9:$BN$9,1),FALSE),0)+IFERROR(VLOOKUP($B21,'RA6-CHPP'!$A$11:$BN$18,MATCH(Summary!BD$1,'RA6-CHPP'!$A$9:$BN$9,1),FALSE),0)+IFERROR(VLOOKUP($B21,'RA7-Mine Infrastructure Area'!$A$11:$BN$18,MATCH(Summary!BD$1,'RA7-Mine Infrastructure Area'!$A$9:$BN$9,1),FALSE),0)+IFERROR(VLOOKUP($B21,'RA8-Water Management Structures'!$A$11:$BN$18,MATCH(Summary!BD$1,'RA8-Water Management Structures'!$A$9:$BN$9,1),FALSE),0)+IFERROR(VLOOKUP($B21,'RA9-Codisposal Upper'!$A$11:$BN$18,MATCH(Summary!BD$1,'RA9-Codisposal Upper'!$A$9:$BN$9,1),FALSE),0)+IFERROR(VLOOKUP($B21,'RA10-Codisposal Slopes'!$A$11:$BN$18,MATCH(Summary!BD$1,'RA10-Codisposal Slopes'!$A$9:$BN$9,1),FALSE),0)+IFERROR(VLOOKUP($B21,'IA1-Final Void inc Ramps'!$A$11:$BN$18,MATCH(Summary!BD$1,'IA1-Final Void inc Ramps'!$A$9:$BN$9,1),FALSE),0)</f>
        <v>569.90300000000002</v>
      </c>
      <c r="BE21" s="47">
        <f>IFERROR(VLOOKUP($B21,'RA1- Elevated Dumps Upper'!$A$11:$BN$18,MATCH(Summary!BE$1,'RA1- Elevated Dumps Upper'!$A$9:$BN$9,1),FALSE),0)+IFERROR(VLOOKUP($B21,'RA2-Elevated Dumps Slopes'!$A$11:$BN$18,MATCH(Summary!BE$1,'RA2-Elevated Dumps Slopes'!$A$9:$BN$9,1),FALSE),0)+IFERROR(VLOOKUP($B21,'RA3-Backfilled Pits'!$A$11:$BN$18,MATCH(Summary!BE$1,'RA3-Backfilled Pits'!$A$9:$BN$9,1),FALSE),0)+IFERROR(VLOOKUP($B21,'RA4-Tracks_Roads'!$A$11:$BN$18,MATCH(Summary!BE$1,'RA4-Tracks_Roads'!$A$9:$BN$9,1),FALSE),0)+IFERROR(VLOOKUP($B21,'RA5-ROM'!$A$11:$BN$18,MATCH(Summary!BE$1,'RA5-ROM'!$A$9:$BN$9,1),FALSE),0)+IFERROR(VLOOKUP($B21,'RA6-CHPP'!$A$11:$BN$18,MATCH(Summary!BE$1,'RA6-CHPP'!$A$9:$BN$9,1),FALSE),0)+IFERROR(VLOOKUP($B21,'RA7-Mine Infrastructure Area'!$A$11:$BN$18,MATCH(Summary!BE$1,'RA7-Mine Infrastructure Area'!$A$9:$BN$9,1),FALSE),0)+IFERROR(VLOOKUP($B21,'RA8-Water Management Structures'!$A$11:$BN$18,MATCH(Summary!BE$1,'RA8-Water Management Structures'!$A$9:$BN$9,1),FALSE),0)+IFERROR(VLOOKUP($B21,'RA9-Codisposal Upper'!$A$11:$BN$18,MATCH(Summary!BE$1,'RA9-Codisposal Upper'!$A$9:$BN$9,1),FALSE),0)+IFERROR(VLOOKUP($B21,'RA10-Codisposal Slopes'!$A$11:$BN$18,MATCH(Summary!BE$1,'RA10-Codisposal Slopes'!$A$9:$BN$9,1),FALSE),0)+IFERROR(VLOOKUP($B21,'IA1-Final Void inc Ramps'!$A$11:$BN$18,MATCH(Summary!BE$1,'IA1-Final Void inc Ramps'!$A$9:$BN$9,1),FALSE),0)</f>
        <v>569.90300000000002</v>
      </c>
      <c r="BF21" s="47">
        <f>IFERROR(VLOOKUP($B21,'RA1- Elevated Dumps Upper'!$A$11:$BN$18,MATCH(Summary!BF$1,'RA1- Elevated Dumps Upper'!$A$9:$BN$9,1),FALSE),0)+IFERROR(VLOOKUP($B21,'RA2-Elevated Dumps Slopes'!$A$11:$BN$18,MATCH(Summary!BF$1,'RA2-Elevated Dumps Slopes'!$A$9:$BN$9,1),FALSE),0)+IFERROR(VLOOKUP($B21,'RA3-Backfilled Pits'!$A$11:$BN$18,MATCH(Summary!BF$1,'RA3-Backfilled Pits'!$A$9:$BN$9,1),FALSE),0)+IFERROR(VLOOKUP($B21,'RA4-Tracks_Roads'!$A$11:$BN$18,MATCH(Summary!BF$1,'RA4-Tracks_Roads'!$A$9:$BN$9,1),FALSE),0)+IFERROR(VLOOKUP($B21,'RA5-ROM'!$A$11:$BN$18,MATCH(Summary!BF$1,'RA5-ROM'!$A$9:$BN$9,1),FALSE),0)+IFERROR(VLOOKUP($B21,'RA6-CHPP'!$A$11:$BN$18,MATCH(Summary!BF$1,'RA6-CHPP'!$A$9:$BN$9,1),FALSE),0)+IFERROR(VLOOKUP($B21,'RA7-Mine Infrastructure Area'!$A$11:$BN$18,MATCH(Summary!BF$1,'RA7-Mine Infrastructure Area'!$A$9:$BN$9,1),FALSE),0)+IFERROR(VLOOKUP($B21,'RA8-Water Management Structures'!$A$11:$BN$18,MATCH(Summary!BF$1,'RA8-Water Management Structures'!$A$9:$BN$9,1),FALSE),0)+IFERROR(VLOOKUP($B21,'RA9-Codisposal Upper'!$A$11:$BN$18,MATCH(Summary!BF$1,'RA9-Codisposal Upper'!$A$9:$BN$9,1),FALSE),0)+IFERROR(VLOOKUP($B21,'RA10-Codisposal Slopes'!$A$11:$BN$18,MATCH(Summary!BF$1,'RA10-Codisposal Slopes'!$A$9:$BN$9,1),FALSE),0)+IFERROR(VLOOKUP($B21,'IA1-Final Void inc Ramps'!$A$11:$BN$18,MATCH(Summary!BF$1,'IA1-Final Void inc Ramps'!$A$9:$BN$9,1),FALSE),0)</f>
        <v>569.90300000000002</v>
      </c>
      <c r="BG21" s="47">
        <f>IFERROR(VLOOKUP($B21,'RA1- Elevated Dumps Upper'!$A$11:$BN$18,MATCH(Summary!BG$1,'RA1- Elevated Dumps Upper'!$A$9:$BN$9,1),FALSE),0)+IFERROR(VLOOKUP($B21,'RA2-Elevated Dumps Slopes'!$A$11:$BN$18,MATCH(Summary!BG$1,'RA2-Elevated Dumps Slopes'!$A$9:$BN$9,1),FALSE),0)+IFERROR(VLOOKUP($B21,'RA3-Backfilled Pits'!$A$11:$BN$18,MATCH(Summary!BG$1,'RA3-Backfilled Pits'!$A$9:$BN$9,1),FALSE),0)+IFERROR(VLOOKUP($B21,'RA4-Tracks_Roads'!$A$11:$BN$18,MATCH(Summary!BG$1,'RA4-Tracks_Roads'!$A$9:$BN$9,1),FALSE),0)+IFERROR(VLOOKUP($B21,'RA5-ROM'!$A$11:$BN$18,MATCH(Summary!BG$1,'RA5-ROM'!$A$9:$BN$9,1),FALSE),0)+IFERROR(VLOOKUP($B21,'RA6-CHPP'!$A$11:$BN$18,MATCH(Summary!BG$1,'RA6-CHPP'!$A$9:$BN$9,1),FALSE),0)+IFERROR(VLOOKUP($B21,'RA7-Mine Infrastructure Area'!$A$11:$BN$18,MATCH(Summary!BG$1,'RA7-Mine Infrastructure Area'!$A$9:$BN$9,1),FALSE),0)+IFERROR(VLOOKUP($B21,'RA8-Water Management Structures'!$A$11:$BN$18,MATCH(Summary!BG$1,'RA8-Water Management Structures'!$A$9:$BN$9,1),FALSE),0)+IFERROR(VLOOKUP($B21,'RA9-Codisposal Upper'!$A$11:$BN$18,MATCH(Summary!BG$1,'RA9-Codisposal Upper'!$A$9:$BN$9,1),FALSE),0)+IFERROR(VLOOKUP($B21,'RA10-Codisposal Slopes'!$A$11:$BN$18,MATCH(Summary!BG$1,'RA10-Codisposal Slopes'!$A$9:$BN$9,1),FALSE),0)+IFERROR(VLOOKUP($B21,'IA1-Final Void inc Ramps'!$A$11:$BN$18,MATCH(Summary!BG$1,'IA1-Final Void inc Ramps'!$A$9:$BN$9,1),FALSE),0)</f>
        <v>569.90300000000002</v>
      </c>
      <c r="BH21" s="47">
        <f>IFERROR(VLOOKUP($B21,'RA1- Elevated Dumps Upper'!$A$11:$BN$18,MATCH(Summary!BH$1,'RA1- Elevated Dumps Upper'!$A$9:$BN$9,1),FALSE),0)+IFERROR(VLOOKUP($B21,'RA2-Elevated Dumps Slopes'!$A$11:$BN$18,MATCH(Summary!BH$1,'RA2-Elevated Dumps Slopes'!$A$9:$BN$9,1),FALSE),0)+IFERROR(VLOOKUP($B21,'RA3-Backfilled Pits'!$A$11:$BN$18,MATCH(Summary!BH$1,'RA3-Backfilled Pits'!$A$9:$BN$9,1),FALSE),0)+IFERROR(VLOOKUP($B21,'RA4-Tracks_Roads'!$A$11:$BN$18,MATCH(Summary!BH$1,'RA4-Tracks_Roads'!$A$9:$BN$9,1),FALSE),0)+IFERROR(VLOOKUP($B21,'RA5-ROM'!$A$11:$BN$18,MATCH(Summary!BH$1,'RA5-ROM'!$A$9:$BN$9,1),FALSE),0)+IFERROR(VLOOKUP($B21,'RA6-CHPP'!$A$11:$BN$18,MATCH(Summary!BH$1,'RA6-CHPP'!$A$9:$BN$9,1),FALSE),0)+IFERROR(VLOOKUP($B21,'RA7-Mine Infrastructure Area'!$A$11:$BN$18,MATCH(Summary!BH$1,'RA7-Mine Infrastructure Area'!$A$9:$BN$9,1),FALSE),0)+IFERROR(VLOOKUP($B21,'RA8-Water Management Structures'!$A$11:$BN$18,MATCH(Summary!BH$1,'RA8-Water Management Structures'!$A$9:$BN$9,1),FALSE),0)+IFERROR(VLOOKUP($B21,'RA9-Codisposal Upper'!$A$11:$BN$18,MATCH(Summary!BH$1,'RA9-Codisposal Upper'!$A$9:$BN$9,1),FALSE),0)+IFERROR(VLOOKUP($B21,'RA10-Codisposal Slopes'!$A$11:$BN$18,MATCH(Summary!BH$1,'RA10-Codisposal Slopes'!$A$9:$BN$9,1),FALSE),0)+IFERROR(VLOOKUP($B21,'IA1-Final Void inc Ramps'!$A$11:$BN$18,MATCH(Summary!BH$1,'IA1-Final Void inc Ramps'!$A$9:$BN$9,1),FALSE),0)</f>
        <v>569.90300000000002</v>
      </c>
      <c r="BI21" s="47">
        <f>IFERROR(VLOOKUP($B21,'RA1- Elevated Dumps Upper'!$A$11:$BN$18,MATCH(Summary!BI$1,'RA1- Elevated Dumps Upper'!$A$9:$BN$9,1),FALSE),0)+IFERROR(VLOOKUP($B21,'RA2-Elevated Dumps Slopes'!$A$11:$BN$18,MATCH(Summary!BI$1,'RA2-Elevated Dumps Slopes'!$A$9:$BN$9,1),FALSE),0)+IFERROR(VLOOKUP($B21,'RA3-Backfilled Pits'!$A$11:$BN$18,MATCH(Summary!BI$1,'RA3-Backfilled Pits'!$A$9:$BN$9,1),FALSE),0)+IFERROR(VLOOKUP($B21,'RA4-Tracks_Roads'!$A$11:$BN$18,MATCH(Summary!BI$1,'RA4-Tracks_Roads'!$A$9:$BN$9,1),FALSE),0)+IFERROR(VLOOKUP($B21,'RA5-ROM'!$A$11:$BN$18,MATCH(Summary!BI$1,'RA5-ROM'!$A$9:$BN$9,1),FALSE),0)+IFERROR(VLOOKUP($B21,'RA6-CHPP'!$A$11:$BN$18,MATCH(Summary!BI$1,'RA6-CHPP'!$A$9:$BN$9,1),FALSE),0)+IFERROR(VLOOKUP($B21,'RA7-Mine Infrastructure Area'!$A$11:$BN$18,MATCH(Summary!BI$1,'RA7-Mine Infrastructure Area'!$A$9:$BN$9,1),FALSE),0)+IFERROR(VLOOKUP($B21,'RA8-Water Management Structures'!$A$11:$BN$18,MATCH(Summary!BI$1,'RA8-Water Management Structures'!$A$9:$BN$9,1),FALSE),0)+IFERROR(VLOOKUP($B21,'RA9-Codisposal Upper'!$A$11:$BN$18,MATCH(Summary!BI$1,'RA9-Codisposal Upper'!$A$9:$BN$9,1),FALSE),0)+IFERROR(VLOOKUP($B21,'RA10-Codisposal Slopes'!$A$11:$BN$18,MATCH(Summary!BI$1,'RA10-Codisposal Slopes'!$A$9:$BN$9,1),FALSE),0)+IFERROR(VLOOKUP($B21,'IA1-Final Void inc Ramps'!$A$11:$BN$18,MATCH(Summary!BI$1,'IA1-Final Void inc Ramps'!$A$9:$BN$9,1),FALSE),0)</f>
        <v>569.90300000000002</v>
      </c>
      <c r="BJ21" s="47">
        <f>IFERROR(VLOOKUP($B21,'RA1- Elevated Dumps Upper'!$A$11:$BN$18,MATCH(Summary!BJ$1,'RA1- Elevated Dumps Upper'!$A$9:$BN$9,1),FALSE),0)+IFERROR(VLOOKUP($B21,'RA2-Elevated Dumps Slopes'!$A$11:$BN$18,MATCH(Summary!BJ$1,'RA2-Elevated Dumps Slopes'!$A$9:$BN$9,1),FALSE),0)+IFERROR(VLOOKUP($B21,'RA3-Backfilled Pits'!$A$11:$BN$18,MATCH(Summary!BJ$1,'RA3-Backfilled Pits'!$A$9:$BN$9,1),FALSE),0)+IFERROR(VLOOKUP($B21,'RA4-Tracks_Roads'!$A$11:$BN$18,MATCH(Summary!BJ$1,'RA4-Tracks_Roads'!$A$9:$BN$9,1),FALSE),0)+IFERROR(VLOOKUP($B21,'RA5-ROM'!$A$11:$BN$18,MATCH(Summary!BJ$1,'RA5-ROM'!$A$9:$BN$9,1),FALSE),0)+IFERROR(VLOOKUP($B21,'RA6-CHPP'!$A$11:$BN$18,MATCH(Summary!BJ$1,'RA6-CHPP'!$A$9:$BN$9,1),FALSE),0)+IFERROR(VLOOKUP($B21,'RA7-Mine Infrastructure Area'!$A$11:$BN$18,MATCH(Summary!BJ$1,'RA7-Mine Infrastructure Area'!$A$9:$BN$9,1),FALSE),0)+IFERROR(VLOOKUP($B21,'RA8-Water Management Structures'!$A$11:$BN$18,MATCH(Summary!BJ$1,'RA8-Water Management Structures'!$A$9:$BN$9,1),FALSE),0)+IFERROR(VLOOKUP($B21,'RA9-Codisposal Upper'!$A$11:$BN$18,MATCH(Summary!BJ$1,'RA9-Codisposal Upper'!$A$9:$BN$9,1),FALSE),0)+IFERROR(VLOOKUP($B21,'RA10-Codisposal Slopes'!$A$11:$BN$18,MATCH(Summary!BJ$1,'RA10-Codisposal Slopes'!$A$9:$BN$9,1),FALSE),0)+IFERROR(VLOOKUP($B21,'IA1-Final Void inc Ramps'!$A$11:$BN$18,MATCH(Summary!BJ$1,'IA1-Final Void inc Ramps'!$A$9:$BN$9,1),FALSE),0)</f>
        <v>569.90300000000002</v>
      </c>
      <c r="BK21" s="47">
        <f>IFERROR(VLOOKUP($B21,'RA1- Elevated Dumps Upper'!$A$11:$BN$18,MATCH(Summary!BK$1,'RA1- Elevated Dumps Upper'!$A$9:$BN$9,1),FALSE),0)+IFERROR(VLOOKUP($B21,'RA2-Elevated Dumps Slopes'!$A$11:$BN$18,MATCH(Summary!BK$1,'RA2-Elevated Dumps Slopes'!$A$9:$BN$9,1),FALSE),0)+IFERROR(VLOOKUP($B21,'RA3-Backfilled Pits'!$A$11:$BN$18,MATCH(Summary!BK$1,'RA3-Backfilled Pits'!$A$9:$BN$9,1),FALSE),0)+IFERROR(VLOOKUP($B21,'RA4-Tracks_Roads'!$A$11:$BN$18,MATCH(Summary!BK$1,'RA4-Tracks_Roads'!$A$9:$BN$9,1),FALSE),0)+IFERROR(VLOOKUP($B21,'RA5-ROM'!$A$11:$BN$18,MATCH(Summary!BK$1,'RA5-ROM'!$A$9:$BN$9,1),FALSE),0)+IFERROR(VLOOKUP($B21,'RA6-CHPP'!$A$11:$BN$18,MATCH(Summary!BK$1,'RA6-CHPP'!$A$9:$BN$9,1),FALSE),0)+IFERROR(VLOOKUP($B21,'RA7-Mine Infrastructure Area'!$A$11:$BN$18,MATCH(Summary!BK$1,'RA7-Mine Infrastructure Area'!$A$9:$BN$9,1),FALSE),0)+IFERROR(VLOOKUP($B21,'RA8-Water Management Structures'!$A$11:$BN$18,MATCH(Summary!BK$1,'RA8-Water Management Structures'!$A$9:$BN$9,1),FALSE),0)+IFERROR(VLOOKUP($B21,'RA9-Codisposal Upper'!$A$11:$BN$18,MATCH(Summary!BK$1,'RA9-Codisposal Upper'!$A$9:$BN$9,1),FALSE),0)+IFERROR(VLOOKUP($B21,'RA10-Codisposal Slopes'!$A$11:$BN$18,MATCH(Summary!BK$1,'RA10-Codisposal Slopes'!$A$9:$BN$9,1),FALSE),0)+IFERROR(VLOOKUP($B21,'IA1-Final Void inc Ramps'!$A$11:$BN$18,MATCH(Summary!BK$1,'IA1-Final Void inc Ramps'!$A$9:$BN$9,1),FALSE),0)</f>
        <v>569.90300000000002</v>
      </c>
      <c r="BL21" s="47">
        <f>IFERROR(VLOOKUP($B21,'RA1- Elevated Dumps Upper'!$A$11:$BN$18,MATCH(Summary!BL$1,'RA1- Elevated Dumps Upper'!$A$9:$BN$9,1),FALSE),0)+IFERROR(VLOOKUP($B21,'RA2-Elevated Dumps Slopes'!$A$11:$BN$18,MATCH(Summary!BL$1,'RA2-Elevated Dumps Slopes'!$A$9:$BN$9,1),FALSE),0)+IFERROR(VLOOKUP($B21,'RA3-Backfilled Pits'!$A$11:$BN$18,MATCH(Summary!BL$1,'RA3-Backfilled Pits'!$A$9:$BN$9,1),FALSE),0)+IFERROR(VLOOKUP($B21,'RA4-Tracks_Roads'!$A$11:$BN$18,MATCH(Summary!BL$1,'RA4-Tracks_Roads'!$A$9:$BN$9,1),FALSE),0)+IFERROR(VLOOKUP($B21,'RA5-ROM'!$A$11:$BN$18,MATCH(Summary!BL$1,'RA5-ROM'!$A$9:$BN$9,1),FALSE),0)+IFERROR(VLOOKUP($B21,'RA6-CHPP'!$A$11:$BN$18,MATCH(Summary!BL$1,'RA6-CHPP'!$A$9:$BN$9,1),FALSE),0)+IFERROR(VLOOKUP($B21,'RA7-Mine Infrastructure Area'!$A$11:$BN$18,MATCH(Summary!BL$1,'RA7-Mine Infrastructure Area'!$A$9:$BN$9,1),FALSE),0)+IFERROR(VLOOKUP($B21,'RA8-Water Management Structures'!$A$11:$BN$18,MATCH(Summary!BL$1,'RA8-Water Management Structures'!$A$9:$BN$9,1),FALSE),0)+IFERROR(VLOOKUP($B21,'RA9-Codisposal Upper'!$A$11:$BN$18,MATCH(Summary!BL$1,'RA9-Codisposal Upper'!$A$9:$BN$9,1),FALSE),0)+IFERROR(VLOOKUP($B21,'RA10-Codisposal Slopes'!$A$11:$BN$18,MATCH(Summary!BL$1,'RA10-Codisposal Slopes'!$A$9:$BN$9,1),FALSE),0)+IFERROR(VLOOKUP($B21,'IA1-Final Void inc Ramps'!$A$11:$BN$18,MATCH(Summary!BL$1,'IA1-Final Void inc Ramps'!$A$9:$BN$9,1),FALSE),0)</f>
        <v>569.90300000000002</v>
      </c>
      <c r="BM21" s="47">
        <f>IFERROR(VLOOKUP($B21,'RA1- Elevated Dumps Upper'!$A$11:$BN$18,MATCH(Summary!BM$1,'RA1- Elevated Dumps Upper'!$A$9:$BN$9,1),FALSE),0)+IFERROR(VLOOKUP($B21,'RA2-Elevated Dumps Slopes'!$A$11:$BN$18,MATCH(Summary!BM$1,'RA2-Elevated Dumps Slopes'!$A$9:$BN$9,1),FALSE),0)+IFERROR(VLOOKUP($B21,'RA3-Backfilled Pits'!$A$11:$BN$18,MATCH(Summary!BM$1,'RA3-Backfilled Pits'!$A$9:$BN$9,1),FALSE),0)+IFERROR(VLOOKUP($B21,'RA4-Tracks_Roads'!$A$11:$BN$18,MATCH(Summary!BM$1,'RA4-Tracks_Roads'!$A$9:$BN$9,1),FALSE),0)+IFERROR(VLOOKUP($B21,'RA5-ROM'!$A$11:$BN$18,MATCH(Summary!BM$1,'RA5-ROM'!$A$9:$BN$9,1),FALSE),0)+IFERROR(VLOOKUP($B21,'RA6-CHPP'!$A$11:$BN$18,MATCH(Summary!BM$1,'RA6-CHPP'!$A$9:$BN$9,1),FALSE),0)+IFERROR(VLOOKUP($B21,'RA7-Mine Infrastructure Area'!$A$11:$BN$18,MATCH(Summary!BM$1,'RA7-Mine Infrastructure Area'!$A$9:$BN$9,1),FALSE),0)+IFERROR(VLOOKUP($B21,'RA8-Water Management Structures'!$A$11:$BN$18,MATCH(Summary!BM$1,'RA8-Water Management Structures'!$A$9:$BN$9,1),FALSE),0)+IFERROR(VLOOKUP($B21,'RA9-Codisposal Upper'!$A$11:$BN$18,MATCH(Summary!BM$1,'RA9-Codisposal Upper'!$A$9:$BN$9,1),FALSE),0)+IFERROR(VLOOKUP($B21,'RA10-Codisposal Slopes'!$A$11:$BN$18,MATCH(Summary!BM$1,'RA10-Codisposal Slopes'!$A$9:$BN$9,1),FALSE),0)+IFERROR(VLOOKUP($B21,'IA1-Final Void inc Ramps'!$A$11:$BN$18,MATCH(Summary!BM$1,'IA1-Final Void inc Ramps'!$A$9:$BN$9,1),FALSE),0)</f>
        <v>569.90300000000002</v>
      </c>
      <c r="BN21" s="47">
        <f>IFERROR(VLOOKUP($B21,'RA1- Elevated Dumps Upper'!$A$11:$BN$18,MATCH(Summary!BN$1,'RA1- Elevated Dumps Upper'!$A$9:$BN$9,1),FALSE),0)+IFERROR(VLOOKUP($B21,'RA2-Elevated Dumps Slopes'!$A$11:$BN$18,MATCH(Summary!BN$1,'RA2-Elevated Dumps Slopes'!$A$9:$BN$9,1),FALSE),0)+IFERROR(VLOOKUP($B21,'RA3-Backfilled Pits'!$A$11:$BN$18,MATCH(Summary!BN$1,'RA3-Backfilled Pits'!$A$9:$BN$9,1),FALSE),0)+IFERROR(VLOOKUP($B21,'RA4-Tracks_Roads'!$A$11:$BN$18,MATCH(Summary!BN$1,'RA4-Tracks_Roads'!$A$9:$BN$9,1),FALSE),0)+IFERROR(VLOOKUP($B21,'RA5-ROM'!$A$11:$BN$18,MATCH(Summary!BN$1,'RA5-ROM'!$A$9:$BN$9,1),FALSE),0)+IFERROR(VLOOKUP($B21,'RA6-CHPP'!$A$11:$BN$18,MATCH(Summary!BN$1,'RA6-CHPP'!$A$9:$BN$9,1),FALSE),0)+IFERROR(VLOOKUP($B21,'RA7-Mine Infrastructure Area'!$A$11:$BN$18,MATCH(Summary!BN$1,'RA7-Mine Infrastructure Area'!$A$9:$BN$9,1),FALSE),0)+IFERROR(VLOOKUP($B21,'RA8-Water Management Structures'!$A$11:$BN$18,MATCH(Summary!BN$1,'RA8-Water Management Structures'!$A$9:$BN$9,1),FALSE),0)+IFERROR(VLOOKUP($B21,'RA9-Codisposal Upper'!$A$11:$BN$18,MATCH(Summary!BN$1,'RA9-Codisposal Upper'!$A$9:$BN$9,1),FALSE),0)+IFERROR(VLOOKUP($B21,'RA10-Codisposal Slopes'!$A$11:$BN$18,MATCH(Summary!BN$1,'RA10-Codisposal Slopes'!$A$9:$BN$9,1),FALSE),0)+IFERROR(VLOOKUP($B21,'IA1-Final Void inc Ramps'!$A$11:$BN$18,MATCH(Summary!BN$1,'IA1-Final Void inc Ramps'!$A$9:$BN$9,1),FALSE),0)</f>
        <v>569.90300000000002</v>
      </c>
    </row>
    <row r="22" spans="1:66" x14ac:dyDescent="0.35">
      <c r="B22" t="s">
        <v>18</v>
      </c>
      <c r="D22" s="47">
        <f>IFERROR(VLOOKUP($B22,'RA1- Elevated Dumps Upper'!$A$11:$BN$18,MATCH(Summary!D$1,'RA1- Elevated Dumps Upper'!$A$9:$BN$9,1),FALSE),0)+IFERROR(VLOOKUP($B22,'RA2-Elevated Dumps Slopes'!$A$11:$BN$18,MATCH(Summary!D$1,'RA2-Elevated Dumps Slopes'!$A$9:$BN$9,1),FALSE),0)+IFERROR(VLOOKUP($B22,'RA3-Backfilled Pits'!$A$11:$BN$18,MATCH(Summary!D$1,'RA3-Backfilled Pits'!$A$9:$BN$9,1),FALSE),0)+IFERROR(VLOOKUP($B22,'RA4-Tracks_Roads'!$A$11:$BN$18,MATCH(Summary!D$1,'RA4-Tracks_Roads'!$A$9:$BN$9,1),FALSE),0)+IFERROR(VLOOKUP($B22,'RA5-ROM'!$A$11:$BN$18,MATCH(Summary!D$1,'RA5-ROM'!$A$9:$BN$9,1),FALSE),0)+IFERROR(VLOOKUP($B22,'RA6-CHPP'!$A$11:$BN$18,MATCH(Summary!D$1,'RA6-CHPP'!$A$9:$BN$9,1),FALSE),0)+IFERROR(VLOOKUP($B22,'RA7-Mine Infrastructure Area'!$A$11:$BN$18,MATCH(Summary!D$1,'RA7-Mine Infrastructure Area'!$A$9:$BN$9,1),FALSE),0)+IFERROR(VLOOKUP($B22,'RA8-Water Management Structures'!$A$11:$BN$18,MATCH(Summary!D$1,'RA8-Water Management Structures'!$A$9:$BN$9,1),FALSE),0)+IFERROR(VLOOKUP($B22,'RA9-Codisposal Upper'!$A$11:$BN$18,MATCH(Summary!D$1,'RA9-Codisposal Upper'!$A$9:$BN$9,1),FALSE),0)+IFERROR(VLOOKUP($B22,'RA10-Codisposal Slopes'!$A$11:$BN$18,MATCH(Summary!D$1,'RA10-Codisposal Slopes'!$A$9:$BN$9,1),FALSE),0)+IFERROR(VLOOKUP($B22,'IA1-Final Void inc Ramps'!$A$11:$BN$18,MATCH(Summary!D$1,'IA1-Final Void inc Ramps'!$A$9:$BN$9,1),FALSE),0)</f>
        <v>0</v>
      </c>
      <c r="E22" s="47">
        <f>IFERROR(VLOOKUP($B22,'RA1- Elevated Dumps Upper'!$A$11:$BN$18,MATCH(Summary!E$1,'RA1- Elevated Dumps Upper'!$A$9:$BN$9,1),FALSE),0)+IFERROR(VLOOKUP($B22,'RA2-Elevated Dumps Slopes'!$A$11:$BN$18,MATCH(Summary!E$1,'RA2-Elevated Dumps Slopes'!$A$9:$BN$9,1),FALSE),0)+IFERROR(VLOOKUP($B22,'RA3-Backfilled Pits'!$A$11:$BN$18,MATCH(Summary!E$1,'RA3-Backfilled Pits'!$A$9:$BN$9,1),FALSE),0)+IFERROR(VLOOKUP($B22,'RA4-Tracks_Roads'!$A$11:$BN$18,MATCH(Summary!E$1,'RA4-Tracks_Roads'!$A$9:$BN$9,1),FALSE),0)+IFERROR(VLOOKUP($B22,'RA5-ROM'!$A$11:$BN$18,MATCH(Summary!E$1,'RA5-ROM'!$A$9:$BN$9,1),FALSE),0)+IFERROR(VLOOKUP($B22,'RA6-CHPP'!$A$11:$BN$18,MATCH(Summary!E$1,'RA6-CHPP'!$A$9:$BN$9,1),FALSE),0)+IFERROR(VLOOKUP($B22,'RA7-Mine Infrastructure Area'!$A$11:$BN$18,MATCH(Summary!E$1,'RA7-Mine Infrastructure Area'!$A$9:$BN$9,1),FALSE),0)+IFERROR(VLOOKUP($B22,'RA8-Water Management Structures'!$A$11:$BN$18,MATCH(Summary!E$1,'RA8-Water Management Structures'!$A$9:$BN$9,1),FALSE),0)+IFERROR(VLOOKUP($B22,'RA9-Codisposal Upper'!$A$11:$BN$18,MATCH(Summary!E$1,'RA9-Codisposal Upper'!$A$9:$BN$9,1),FALSE),0)+IFERROR(VLOOKUP($B22,'RA10-Codisposal Slopes'!$A$11:$BN$18,MATCH(Summary!E$1,'RA10-Codisposal Slopes'!$A$9:$BN$9,1),FALSE),0)+IFERROR(VLOOKUP($B22,'IA1-Final Void inc Ramps'!$A$11:$BN$18,MATCH(Summary!E$1,'IA1-Final Void inc Ramps'!$A$9:$BN$9,1),FALSE),0)</f>
        <v>0</v>
      </c>
      <c r="F22" s="47">
        <f>IFERROR(VLOOKUP($B22,'RA1- Elevated Dumps Upper'!$A$11:$BN$18,MATCH(Summary!F$1,'RA1- Elevated Dumps Upper'!$A$9:$BN$9,1),FALSE),0)+IFERROR(VLOOKUP($B22,'RA2-Elevated Dumps Slopes'!$A$11:$BN$18,MATCH(Summary!F$1,'RA2-Elevated Dumps Slopes'!$A$9:$BN$9,1),FALSE),0)+IFERROR(VLOOKUP($B22,'RA3-Backfilled Pits'!$A$11:$BN$18,MATCH(Summary!F$1,'RA3-Backfilled Pits'!$A$9:$BN$9,1),FALSE),0)+IFERROR(VLOOKUP($B22,'RA4-Tracks_Roads'!$A$11:$BN$18,MATCH(Summary!F$1,'RA4-Tracks_Roads'!$A$9:$BN$9,1),FALSE),0)+IFERROR(VLOOKUP($B22,'RA5-ROM'!$A$11:$BN$18,MATCH(Summary!F$1,'RA5-ROM'!$A$9:$BN$9,1),FALSE),0)+IFERROR(VLOOKUP($B22,'RA6-CHPP'!$A$11:$BN$18,MATCH(Summary!F$1,'RA6-CHPP'!$A$9:$BN$9,1),FALSE),0)+IFERROR(VLOOKUP($B22,'RA7-Mine Infrastructure Area'!$A$11:$BN$18,MATCH(Summary!F$1,'RA7-Mine Infrastructure Area'!$A$9:$BN$9,1),FALSE),0)+IFERROR(VLOOKUP($B22,'RA8-Water Management Structures'!$A$11:$BN$18,MATCH(Summary!F$1,'RA8-Water Management Structures'!$A$9:$BN$9,1),FALSE),0)+IFERROR(VLOOKUP($B22,'RA9-Codisposal Upper'!$A$11:$BN$18,MATCH(Summary!F$1,'RA9-Codisposal Upper'!$A$9:$BN$9,1),FALSE),0)+IFERROR(VLOOKUP($B22,'RA10-Codisposal Slopes'!$A$11:$BN$18,MATCH(Summary!F$1,'RA10-Codisposal Slopes'!$A$9:$BN$9,1),FALSE),0)+IFERROR(VLOOKUP($B22,'IA1-Final Void inc Ramps'!$A$11:$BN$18,MATCH(Summary!F$1,'IA1-Final Void inc Ramps'!$A$9:$BN$9,1),FALSE),0)</f>
        <v>0</v>
      </c>
      <c r="G22" s="47">
        <f>IFERROR(VLOOKUP($B22,'RA1- Elevated Dumps Upper'!$A$11:$BN$18,MATCH(Summary!G$1,'RA1- Elevated Dumps Upper'!$A$9:$BN$9,1),FALSE),0)+IFERROR(VLOOKUP($B22,'RA2-Elevated Dumps Slopes'!$A$11:$BN$18,MATCH(Summary!G$1,'RA2-Elevated Dumps Slopes'!$A$9:$BN$9,1),FALSE),0)+IFERROR(VLOOKUP($B22,'RA3-Backfilled Pits'!$A$11:$BN$18,MATCH(Summary!G$1,'RA3-Backfilled Pits'!$A$9:$BN$9,1),FALSE),0)+IFERROR(VLOOKUP($B22,'RA4-Tracks_Roads'!$A$11:$BN$18,MATCH(Summary!G$1,'RA4-Tracks_Roads'!$A$9:$BN$9,1),FALSE),0)+IFERROR(VLOOKUP($B22,'RA5-ROM'!$A$11:$BN$18,MATCH(Summary!G$1,'RA5-ROM'!$A$9:$BN$9,1),FALSE),0)+IFERROR(VLOOKUP($B22,'RA6-CHPP'!$A$11:$BN$18,MATCH(Summary!G$1,'RA6-CHPP'!$A$9:$BN$9,1),FALSE),0)+IFERROR(VLOOKUP($B22,'RA7-Mine Infrastructure Area'!$A$11:$BN$18,MATCH(Summary!G$1,'RA7-Mine Infrastructure Area'!$A$9:$BN$9,1),FALSE),0)+IFERROR(VLOOKUP($B22,'RA8-Water Management Structures'!$A$11:$BN$18,MATCH(Summary!G$1,'RA8-Water Management Structures'!$A$9:$BN$9,1),FALSE),0)+IFERROR(VLOOKUP($B22,'RA9-Codisposal Upper'!$A$11:$BN$18,MATCH(Summary!G$1,'RA9-Codisposal Upper'!$A$9:$BN$9,1),FALSE),0)+IFERROR(VLOOKUP($B22,'RA10-Codisposal Slopes'!$A$11:$BN$18,MATCH(Summary!G$1,'RA10-Codisposal Slopes'!$A$9:$BN$9,1),FALSE),0)+IFERROR(VLOOKUP($B22,'IA1-Final Void inc Ramps'!$A$11:$BN$18,MATCH(Summary!G$1,'IA1-Final Void inc Ramps'!$A$9:$BN$9,1),FALSE),0)</f>
        <v>0</v>
      </c>
      <c r="H22" s="47">
        <f>IFERROR(VLOOKUP($B22,'RA1- Elevated Dumps Upper'!$A$11:$BN$18,MATCH(Summary!H$1,'RA1- Elevated Dumps Upper'!$A$9:$BN$9,1),FALSE),0)+IFERROR(VLOOKUP($B22,'RA2-Elevated Dumps Slopes'!$A$11:$BN$18,MATCH(Summary!H$1,'RA2-Elevated Dumps Slopes'!$A$9:$BN$9,1),FALSE),0)+IFERROR(VLOOKUP($B22,'RA3-Backfilled Pits'!$A$11:$BN$18,MATCH(Summary!H$1,'RA3-Backfilled Pits'!$A$9:$BN$9,1),FALSE),0)+IFERROR(VLOOKUP($B22,'RA4-Tracks_Roads'!$A$11:$BN$18,MATCH(Summary!H$1,'RA4-Tracks_Roads'!$A$9:$BN$9,1),FALSE),0)+IFERROR(VLOOKUP($B22,'RA5-ROM'!$A$11:$BN$18,MATCH(Summary!H$1,'RA5-ROM'!$A$9:$BN$9,1),FALSE),0)+IFERROR(VLOOKUP($B22,'RA6-CHPP'!$A$11:$BN$18,MATCH(Summary!H$1,'RA6-CHPP'!$A$9:$BN$9,1),FALSE),0)+IFERROR(VLOOKUP($B22,'RA7-Mine Infrastructure Area'!$A$11:$BN$18,MATCH(Summary!H$1,'RA7-Mine Infrastructure Area'!$A$9:$BN$9,1),FALSE),0)+IFERROR(VLOOKUP($B22,'RA8-Water Management Structures'!$A$11:$BN$18,MATCH(Summary!H$1,'RA8-Water Management Structures'!$A$9:$BN$9,1),FALSE),0)+IFERROR(VLOOKUP($B22,'RA9-Codisposal Upper'!$A$11:$BN$18,MATCH(Summary!H$1,'RA9-Codisposal Upper'!$A$9:$BN$9,1),FALSE),0)+IFERROR(VLOOKUP($B22,'RA10-Codisposal Slopes'!$A$11:$BN$18,MATCH(Summary!H$1,'RA10-Codisposal Slopes'!$A$9:$BN$9,1),FALSE),0)+IFERROR(VLOOKUP($B22,'IA1-Final Void inc Ramps'!$A$11:$BN$18,MATCH(Summary!H$1,'IA1-Final Void inc Ramps'!$A$9:$BN$9,1),FALSE),0)</f>
        <v>0</v>
      </c>
      <c r="I22" s="47">
        <f>IFERROR(VLOOKUP($B22,'RA1- Elevated Dumps Upper'!$A$11:$BN$18,MATCH(Summary!I$1,'RA1- Elevated Dumps Upper'!$A$9:$BN$9,1),FALSE),0)+IFERROR(VLOOKUP($B22,'RA2-Elevated Dumps Slopes'!$A$11:$BN$18,MATCH(Summary!I$1,'RA2-Elevated Dumps Slopes'!$A$9:$BN$9,1),FALSE),0)+IFERROR(VLOOKUP($B22,'RA3-Backfilled Pits'!$A$11:$BN$18,MATCH(Summary!I$1,'RA3-Backfilled Pits'!$A$9:$BN$9,1),FALSE),0)+IFERROR(VLOOKUP($B22,'RA4-Tracks_Roads'!$A$11:$BN$18,MATCH(Summary!I$1,'RA4-Tracks_Roads'!$A$9:$BN$9,1),FALSE),0)+IFERROR(VLOOKUP($B22,'RA5-ROM'!$A$11:$BN$18,MATCH(Summary!I$1,'RA5-ROM'!$A$9:$BN$9,1),FALSE),0)+IFERROR(VLOOKUP($B22,'RA6-CHPP'!$A$11:$BN$18,MATCH(Summary!I$1,'RA6-CHPP'!$A$9:$BN$9,1),FALSE),0)+IFERROR(VLOOKUP($B22,'RA7-Mine Infrastructure Area'!$A$11:$BN$18,MATCH(Summary!I$1,'RA7-Mine Infrastructure Area'!$A$9:$BN$9,1),FALSE),0)+IFERROR(VLOOKUP($B22,'RA8-Water Management Structures'!$A$11:$BN$18,MATCH(Summary!I$1,'RA8-Water Management Structures'!$A$9:$BN$9,1),FALSE),0)+IFERROR(VLOOKUP($B22,'RA9-Codisposal Upper'!$A$11:$BN$18,MATCH(Summary!I$1,'RA9-Codisposal Upper'!$A$9:$BN$9,1),FALSE),0)+IFERROR(VLOOKUP($B22,'RA10-Codisposal Slopes'!$A$11:$BN$18,MATCH(Summary!I$1,'RA10-Codisposal Slopes'!$A$9:$BN$9,1),FALSE),0)+IFERROR(VLOOKUP($B22,'IA1-Final Void inc Ramps'!$A$11:$BN$18,MATCH(Summary!I$1,'IA1-Final Void inc Ramps'!$A$9:$BN$9,1),FALSE),0)</f>
        <v>0</v>
      </c>
      <c r="J22" s="47">
        <f>IFERROR(VLOOKUP($B22,'RA1- Elevated Dumps Upper'!$A$11:$BN$18,MATCH(Summary!J$1,'RA1- Elevated Dumps Upper'!$A$9:$BN$9,1),FALSE),0)+IFERROR(VLOOKUP($B22,'RA2-Elevated Dumps Slopes'!$A$11:$BN$18,MATCH(Summary!J$1,'RA2-Elevated Dumps Slopes'!$A$9:$BN$9,1),FALSE),0)+IFERROR(VLOOKUP($B22,'RA3-Backfilled Pits'!$A$11:$BN$18,MATCH(Summary!J$1,'RA3-Backfilled Pits'!$A$9:$BN$9,1),FALSE),0)+IFERROR(VLOOKUP($B22,'RA4-Tracks_Roads'!$A$11:$BN$18,MATCH(Summary!J$1,'RA4-Tracks_Roads'!$A$9:$BN$9,1),FALSE),0)+IFERROR(VLOOKUP($B22,'RA5-ROM'!$A$11:$BN$18,MATCH(Summary!J$1,'RA5-ROM'!$A$9:$BN$9,1),FALSE),0)+IFERROR(VLOOKUP($B22,'RA6-CHPP'!$A$11:$BN$18,MATCH(Summary!J$1,'RA6-CHPP'!$A$9:$BN$9,1),FALSE),0)+IFERROR(VLOOKUP($B22,'RA7-Mine Infrastructure Area'!$A$11:$BN$18,MATCH(Summary!J$1,'RA7-Mine Infrastructure Area'!$A$9:$BN$9,1),FALSE),0)+IFERROR(VLOOKUP($B22,'RA8-Water Management Structures'!$A$11:$BN$18,MATCH(Summary!J$1,'RA8-Water Management Structures'!$A$9:$BN$9,1),FALSE),0)+IFERROR(VLOOKUP($B22,'RA9-Codisposal Upper'!$A$11:$BN$18,MATCH(Summary!J$1,'RA9-Codisposal Upper'!$A$9:$BN$9,1),FALSE),0)+IFERROR(VLOOKUP($B22,'RA10-Codisposal Slopes'!$A$11:$BN$18,MATCH(Summary!J$1,'RA10-Codisposal Slopes'!$A$9:$BN$9,1),FALSE),0)+IFERROR(VLOOKUP($B22,'IA1-Final Void inc Ramps'!$A$11:$BN$18,MATCH(Summary!J$1,'IA1-Final Void inc Ramps'!$A$9:$BN$9,1),FALSE),0)</f>
        <v>0</v>
      </c>
      <c r="K22" s="47">
        <f>IFERROR(VLOOKUP($B22,'RA1- Elevated Dumps Upper'!$A$11:$BN$18,MATCH(Summary!K$1,'RA1- Elevated Dumps Upper'!$A$9:$BN$9,1),FALSE),0)+IFERROR(VLOOKUP($B22,'RA2-Elevated Dumps Slopes'!$A$11:$BN$18,MATCH(Summary!K$1,'RA2-Elevated Dumps Slopes'!$A$9:$BN$9,1),FALSE),0)+IFERROR(VLOOKUP($B22,'RA3-Backfilled Pits'!$A$11:$BN$18,MATCH(Summary!K$1,'RA3-Backfilled Pits'!$A$9:$BN$9,1),FALSE),0)+IFERROR(VLOOKUP($B22,'RA4-Tracks_Roads'!$A$11:$BN$18,MATCH(Summary!K$1,'RA4-Tracks_Roads'!$A$9:$BN$9,1),FALSE),0)+IFERROR(VLOOKUP($B22,'RA5-ROM'!$A$11:$BN$18,MATCH(Summary!K$1,'RA5-ROM'!$A$9:$BN$9,1),FALSE),0)+IFERROR(VLOOKUP($B22,'RA6-CHPP'!$A$11:$BN$18,MATCH(Summary!K$1,'RA6-CHPP'!$A$9:$BN$9,1),FALSE),0)+IFERROR(VLOOKUP($B22,'RA7-Mine Infrastructure Area'!$A$11:$BN$18,MATCH(Summary!K$1,'RA7-Mine Infrastructure Area'!$A$9:$BN$9,1),FALSE),0)+IFERROR(VLOOKUP($B22,'RA8-Water Management Structures'!$A$11:$BN$18,MATCH(Summary!K$1,'RA8-Water Management Structures'!$A$9:$BN$9,1),FALSE),0)+IFERROR(VLOOKUP($B22,'RA9-Codisposal Upper'!$A$11:$BN$18,MATCH(Summary!K$1,'RA9-Codisposal Upper'!$A$9:$BN$9,1),FALSE),0)+IFERROR(VLOOKUP($B22,'RA10-Codisposal Slopes'!$A$11:$BN$18,MATCH(Summary!K$1,'RA10-Codisposal Slopes'!$A$9:$BN$9,1),FALSE),0)+IFERROR(VLOOKUP($B22,'IA1-Final Void inc Ramps'!$A$11:$BN$18,MATCH(Summary!K$1,'IA1-Final Void inc Ramps'!$A$9:$BN$9,1),FALSE),0)</f>
        <v>0</v>
      </c>
      <c r="L22" s="47">
        <f>IFERROR(VLOOKUP($B22,'RA1- Elevated Dumps Upper'!$A$11:$BN$18,MATCH(Summary!L$1,'RA1- Elevated Dumps Upper'!$A$9:$BN$9,1),FALSE),0)+IFERROR(VLOOKUP($B22,'RA2-Elevated Dumps Slopes'!$A$11:$BN$18,MATCH(Summary!L$1,'RA2-Elevated Dumps Slopes'!$A$9:$BN$9,1),FALSE),0)+IFERROR(VLOOKUP($B22,'RA3-Backfilled Pits'!$A$11:$BN$18,MATCH(Summary!L$1,'RA3-Backfilled Pits'!$A$9:$BN$9,1),FALSE),0)+IFERROR(VLOOKUP($B22,'RA4-Tracks_Roads'!$A$11:$BN$18,MATCH(Summary!L$1,'RA4-Tracks_Roads'!$A$9:$BN$9,1),FALSE),0)+IFERROR(VLOOKUP($B22,'RA5-ROM'!$A$11:$BN$18,MATCH(Summary!L$1,'RA5-ROM'!$A$9:$BN$9,1),FALSE),0)+IFERROR(VLOOKUP($B22,'RA6-CHPP'!$A$11:$BN$18,MATCH(Summary!L$1,'RA6-CHPP'!$A$9:$BN$9,1),FALSE),0)+IFERROR(VLOOKUP($B22,'RA7-Mine Infrastructure Area'!$A$11:$BN$18,MATCH(Summary!L$1,'RA7-Mine Infrastructure Area'!$A$9:$BN$9,1),FALSE),0)+IFERROR(VLOOKUP($B22,'RA8-Water Management Structures'!$A$11:$BN$18,MATCH(Summary!L$1,'RA8-Water Management Structures'!$A$9:$BN$9,1),FALSE),0)+IFERROR(VLOOKUP($B22,'RA9-Codisposal Upper'!$A$11:$BN$18,MATCH(Summary!L$1,'RA9-Codisposal Upper'!$A$9:$BN$9,1),FALSE),0)+IFERROR(VLOOKUP($B22,'RA10-Codisposal Slopes'!$A$11:$BN$18,MATCH(Summary!L$1,'RA10-Codisposal Slopes'!$A$9:$BN$9,1),FALSE),0)+IFERROR(VLOOKUP($B22,'IA1-Final Void inc Ramps'!$A$11:$BN$18,MATCH(Summary!L$1,'IA1-Final Void inc Ramps'!$A$9:$BN$9,1),FALSE),0)</f>
        <v>0</v>
      </c>
      <c r="M22" s="47">
        <f>IFERROR(VLOOKUP($B22,'RA1- Elevated Dumps Upper'!$A$11:$BN$18,MATCH(Summary!M$1,'RA1- Elevated Dumps Upper'!$A$9:$BN$9,1),FALSE),0)+IFERROR(VLOOKUP($B22,'RA2-Elevated Dumps Slopes'!$A$11:$BN$18,MATCH(Summary!M$1,'RA2-Elevated Dumps Slopes'!$A$9:$BN$9,1),FALSE),0)+IFERROR(VLOOKUP($B22,'RA3-Backfilled Pits'!$A$11:$BN$18,MATCH(Summary!M$1,'RA3-Backfilled Pits'!$A$9:$BN$9,1),FALSE),0)+IFERROR(VLOOKUP($B22,'RA4-Tracks_Roads'!$A$11:$BN$18,MATCH(Summary!M$1,'RA4-Tracks_Roads'!$A$9:$BN$9,1),FALSE),0)+IFERROR(VLOOKUP($B22,'RA5-ROM'!$A$11:$BN$18,MATCH(Summary!M$1,'RA5-ROM'!$A$9:$BN$9,1),FALSE),0)+IFERROR(VLOOKUP($B22,'RA6-CHPP'!$A$11:$BN$18,MATCH(Summary!M$1,'RA6-CHPP'!$A$9:$BN$9,1),FALSE),0)+IFERROR(VLOOKUP($B22,'RA7-Mine Infrastructure Area'!$A$11:$BN$18,MATCH(Summary!M$1,'RA7-Mine Infrastructure Area'!$A$9:$BN$9,1),FALSE),0)+IFERROR(VLOOKUP($B22,'RA8-Water Management Structures'!$A$11:$BN$18,MATCH(Summary!M$1,'RA8-Water Management Structures'!$A$9:$BN$9,1),FALSE),0)+IFERROR(VLOOKUP($B22,'RA9-Codisposal Upper'!$A$11:$BN$18,MATCH(Summary!M$1,'RA9-Codisposal Upper'!$A$9:$BN$9,1),FALSE),0)+IFERROR(VLOOKUP($B22,'RA10-Codisposal Slopes'!$A$11:$BN$18,MATCH(Summary!M$1,'RA10-Codisposal Slopes'!$A$9:$BN$9,1),FALSE),0)+IFERROR(VLOOKUP($B22,'IA1-Final Void inc Ramps'!$A$11:$BN$18,MATCH(Summary!M$1,'IA1-Final Void inc Ramps'!$A$9:$BN$9,1),FALSE),0)</f>
        <v>0</v>
      </c>
      <c r="N22" s="47">
        <f>IFERROR(VLOOKUP($B22,'RA1- Elevated Dumps Upper'!$A$11:$BN$18,MATCH(Summary!N$1,'RA1- Elevated Dumps Upper'!$A$9:$BN$9,1),FALSE),0)+IFERROR(VLOOKUP($B22,'RA2-Elevated Dumps Slopes'!$A$11:$BN$18,MATCH(Summary!N$1,'RA2-Elevated Dumps Slopes'!$A$9:$BN$9,1),FALSE),0)+IFERROR(VLOOKUP($B22,'RA3-Backfilled Pits'!$A$11:$BN$18,MATCH(Summary!N$1,'RA3-Backfilled Pits'!$A$9:$BN$9,1),FALSE),0)+IFERROR(VLOOKUP($B22,'RA4-Tracks_Roads'!$A$11:$BN$18,MATCH(Summary!N$1,'RA4-Tracks_Roads'!$A$9:$BN$9,1),FALSE),0)+IFERROR(VLOOKUP($B22,'RA5-ROM'!$A$11:$BN$18,MATCH(Summary!N$1,'RA5-ROM'!$A$9:$BN$9,1),FALSE),0)+IFERROR(VLOOKUP($B22,'RA6-CHPP'!$A$11:$BN$18,MATCH(Summary!N$1,'RA6-CHPP'!$A$9:$BN$9,1),FALSE),0)+IFERROR(VLOOKUP($B22,'RA7-Mine Infrastructure Area'!$A$11:$BN$18,MATCH(Summary!N$1,'RA7-Mine Infrastructure Area'!$A$9:$BN$9,1),FALSE),0)+IFERROR(VLOOKUP($B22,'RA8-Water Management Structures'!$A$11:$BN$18,MATCH(Summary!N$1,'RA8-Water Management Structures'!$A$9:$BN$9,1),FALSE),0)+IFERROR(VLOOKUP($B22,'RA9-Codisposal Upper'!$A$11:$BN$18,MATCH(Summary!N$1,'RA9-Codisposal Upper'!$A$9:$BN$9,1),FALSE),0)+IFERROR(VLOOKUP($B22,'RA10-Codisposal Slopes'!$A$11:$BN$18,MATCH(Summary!N$1,'RA10-Codisposal Slopes'!$A$9:$BN$9,1),FALSE),0)+IFERROR(VLOOKUP($B22,'IA1-Final Void inc Ramps'!$A$11:$BN$18,MATCH(Summary!N$1,'IA1-Final Void inc Ramps'!$A$9:$BN$9,1),FALSE),0)</f>
        <v>0</v>
      </c>
      <c r="O22" s="47">
        <f>IFERROR(VLOOKUP($B22,'RA1- Elevated Dumps Upper'!$A$11:$BN$18,MATCH(Summary!O$1,'RA1- Elevated Dumps Upper'!$A$9:$BN$9,1),FALSE),0)+IFERROR(VLOOKUP($B22,'RA2-Elevated Dumps Slopes'!$A$11:$BN$18,MATCH(Summary!O$1,'RA2-Elevated Dumps Slopes'!$A$9:$BN$9,1),FALSE),0)+IFERROR(VLOOKUP($B22,'RA3-Backfilled Pits'!$A$11:$BN$18,MATCH(Summary!O$1,'RA3-Backfilled Pits'!$A$9:$BN$9,1),FALSE),0)+IFERROR(VLOOKUP($B22,'RA4-Tracks_Roads'!$A$11:$BN$18,MATCH(Summary!O$1,'RA4-Tracks_Roads'!$A$9:$BN$9,1),FALSE),0)+IFERROR(VLOOKUP($B22,'RA5-ROM'!$A$11:$BN$18,MATCH(Summary!O$1,'RA5-ROM'!$A$9:$BN$9,1),FALSE),0)+IFERROR(VLOOKUP($B22,'RA6-CHPP'!$A$11:$BN$18,MATCH(Summary!O$1,'RA6-CHPP'!$A$9:$BN$9,1),FALSE),0)+IFERROR(VLOOKUP($B22,'RA7-Mine Infrastructure Area'!$A$11:$BN$18,MATCH(Summary!O$1,'RA7-Mine Infrastructure Area'!$A$9:$BN$9,1),FALSE),0)+IFERROR(VLOOKUP($B22,'RA8-Water Management Structures'!$A$11:$BN$18,MATCH(Summary!O$1,'RA8-Water Management Structures'!$A$9:$BN$9,1),FALSE),0)+IFERROR(VLOOKUP($B22,'RA9-Codisposal Upper'!$A$11:$BN$18,MATCH(Summary!O$1,'RA9-Codisposal Upper'!$A$9:$BN$9,1),FALSE),0)+IFERROR(VLOOKUP($B22,'RA10-Codisposal Slopes'!$A$11:$BN$18,MATCH(Summary!O$1,'RA10-Codisposal Slopes'!$A$9:$BN$9,1),FALSE),0)+IFERROR(VLOOKUP($B22,'IA1-Final Void inc Ramps'!$A$11:$BN$18,MATCH(Summary!O$1,'IA1-Final Void inc Ramps'!$A$9:$BN$9,1),FALSE),0)</f>
        <v>0</v>
      </c>
      <c r="P22" s="47">
        <f>IFERROR(VLOOKUP($B22,'RA1- Elevated Dumps Upper'!$A$11:$BN$18,MATCH(Summary!P$1,'RA1- Elevated Dumps Upper'!$A$9:$BN$9,1),FALSE),0)+IFERROR(VLOOKUP($B22,'RA2-Elevated Dumps Slopes'!$A$11:$BN$18,MATCH(Summary!P$1,'RA2-Elevated Dumps Slopes'!$A$9:$BN$9,1),FALSE),0)+IFERROR(VLOOKUP($B22,'RA3-Backfilled Pits'!$A$11:$BN$18,MATCH(Summary!P$1,'RA3-Backfilled Pits'!$A$9:$BN$9,1),FALSE),0)+IFERROR(VLOOKUP($B22,'RA4-Tracks_Roads'!$A$11:$BN$18,MATCH(Summary!P$1,'RA4-Tracks_Roads'!$A$9:$BN$9,1),FALSE),0)+IFERROR(VLOOKUP($B22,'RA5-ROM'!$A$11:$BN$18,MATCH(Summary!P$1,'RA5-ROM'!$A$9:$BN$9,1),FALSE),0)+IFERROR(VLOOKUP($B22,'RA6-CHPP'!$A$11:$BN$18,MATCH(Summary!P$1,'RA6-CHPP'!$A$9:$BN$9,1),FALSE),0)+IFERROR(VLOOKUP($B22,'RA7-Mine Infrastructure Area'!$A$11:$BN$18,MATCH(Summary!P$1,'RA7-Mine Infrastructure Area'!$A$9:$BN$9,1),FALSE),0)+IFERROR(VLOOKUP($B22,'RA8-Water Management Structures'!$A$11:$BN$18,MATCH(Summary!P$1,'RA8-Water Management Structures'!$A$9:$BN$9,1),FALSE),0)+IFERROR(VLOOKUP($B22,'RA9-Codisposal Upper'!$A$11:$BN$18,MATCH(Summary!P$1,'RA9-Codisposal Upper'!$A$9:$BN$9,1),FALSE),0)+IFERROR(VLOOKUP($B22,'RA10-Codisposal Slopes'!$A$11:$BN$18,MATCH(Summary!P$1,'RA10-Codisposal Slopes'!$A$9:$BN$9,1),FALSE),0)+IFERROR(VLOOKUP($B22,'IA1-Final Void inc Ramps'!$A$11:$BN$18,MATCH(Summary!P$1,'IA1-Final Void inc Ramps'!$A$9:$BN$9,1),FALSE),0)</f>
        <v>0</v>
      </c>
      <c r="Q22" s="47">
        <f>IFERROR(VLOOKUP($B22,'RA1- Elevated Dumps Upper'!$A$11:$BN$18,MATCH(Summary!Q$1,'RA1- Elevated Dumps Upper'!$A$9:$BN$9,1),FALSE),0)+IFERROR(VLOOKUP($B22,'RA2-Elevated Dumps Slopes'!$A$11:$BN$18,MATCH(Summary!Q$1,'RA2-Elevated Dumps Slopes'!$A$9:$BN$9,1),FALSE),0)+IFERROR(VLOOKUP($B22,'RA3-Backfilled Pits'!$A$11:$BN$18,MATCH(Summary!Q$1,'RA3-Backfilled Pits'!$A$9:$BN$9,1),FALSE),0)+IFERROR(VLOOKUP($B22,'RA4-Tracks_Roads'!$A$11:$BN$18,MATCH(Summary!Q$1,'RA4-Tracks_Roads'!$A$9:$BN$9,1),FALSE),0)+IFERROR(VLOOKUP($B22,'RA5-ROM'!$A$11:$BN$18,MATCH(Summary!Q$1,'RA5-ROM'!$A$9:$BN$9,1),FALSE),0)+IFERROR(VLOOKUP($B22,'RA6-CHPP'!$A$11:$BN$18,MATCH(Summary!Q$1,'RA6-CHPP'!$A$9:$BN$9,1),FALSE),0)+IFERROR(VLOOKUP($B22,'RA7-Mine Infrastructure Area'!$A$11:$BN$18,MATCH(Summary!Q$1,'RA7-Mine Infrastructure Area'!$A$9:$BN$9,1),FALSE),0)+IFERROR(VLOOKUP($B22,'RA8-Water Management Structures'!$A$11:$BN$18,MATCH(Summary!Q$1,'RA8-Water Management Structures'!$A$9:$BN$9,1),FALSE),0)+IFERROR(VLOOKUP($B22,'RA9-Codisposal Upper'!$A$11:$BN$18,MATCH(Summary!Q$1,'RA9-Codisposal Upper'!$A$9:$BN$9,1),FALSE),0)+IFERROR(VLOOKUP($B22,'RA10-Codisposal Slopes'!$A$11:$BN$18,MATCH(Summary!Q$1,'RA10-Codisposal Slopes'!$A$9:$BN$9,1),FALSE),0)+IFERROR(VLOOKUP($B22,'IA1-Final Void inc Ramps'!$A$11:$BN$18,MATCH(Summary!Q$1,'IA1-Final Void inc Ramps'!$A$9:$BN$9,1),FALSE),0)</f>
        <v>0</v>
      </c>
      <c r="R22" s="47">
        <f>IFERROR(VLOOKUP($B22,'RA1- Elevated Dumps Upper'!$A$11:$BN$18,MATCH(Summary!R$1,'RA1- Elevated Dumps Upper'!$A$9:$BN$9,1),FALSE),0)+IFERROR(VLOOKUP($B22,'RA2-Elevated Dumps Slopes'!$A$11:$BN$18,MATCH(Summary!R$1,'RA2-Elevated Dumps Slopes'!$A$9:$BN$9,1),FALSE),0)+IFERROR(VLOOKUP($B22,'RA3-Backfilled Pits'!$A$11:$BN$18,MATCH(Summary!R$1,'RA3-Backfilled Pits'!$A$9:$BN$9,1),FALSE),0)+IFERROR(VLOOKUP($B22,'RA4-Tracks_Roads'!$A$11:$BN$18,MATCH(Summary!R$1,'RA4-Tracks_Roads'!$A$9:$BN$9,1),FALSE),0)+IFERROR(VLOOKUP($B22,'RA5-ROM'!$A$11:$BN$18,MATCH(Summary!R$1,'RA5-ROM'!$A$9:$BN$9,1),FALSE),0)+IFERROR(VLOOKUP($B22,'RA6-CHPP'!$A$11:$BN$18,MATCH(Summary!R$1,'RA6-CHPP'!$A$9:$BN$9,1),FALSE),0)+IFERROR(VLOOKUP($B22,'RA7-Mine Infrastructure Area'!$A$11:$BN$18,MATCH(Summary!R$1,'RA7-Mine Infrastructure Area'!$A$9:$BN$9,1),FALSE),0)+IFERROR(VLOOKUP($B22,'RA8-Water Management Structures'!$A$11:$BN$18,MATCH(Summary!R$1,'RA8-Water Management Structures'!$A$9:$BN$9,1),FALSE),0)+IFERROR(VLOOKUP($B22,'RA9-Codisposal Upper'!$A$11:$BN$18,MATCH(Summary!R$1,'RA9-Codisposal Upper'!$A$9:$BN$9,1),FALSE),0)+IFERROR(VLOOKUP($B22,'RA10-Codisposal Slopes'!$A$11:$BN$18,MATCH(Summary!R$1,'RA10-Codisposal Slopes'!$A$9:$BN$9,1),FALSE),0)+IFERROR(VLOOKUP($B22,'IA1-Final Void inc Ramps'!$A$11:$BN$18,MATCH(Summary!R$1,'IA1-Final Void inc Ramps'!$A$9:$BN$9,1),FALSE),0)</f>
        <v>0</v>
      </c>
      <c r="S22" s="47">
        <f>IFERROR(VLOOKUP($B22,'RA1- Elevated Dumps Upper'!$A$11:$BN$18,MATCH(Summary!S$1,'RA1- Elevated Dumps Upper'!$A$9:$BN$9,1),FALSE),0)+IFERROR(VLOOKUP($B22,'RA2-Elevated Dumps Slopes'!$A$11:$BN$18,MATCH(Summary!S$1,'RA2-Elevated Dumps Slopes'!$A$9:$BN$9,1),FALSE),0)+IFERROR(VLOOKUP($B22,'RA3-Backfilled Pits'!$A$11:$BN$18,MATCH(Summary!S$1,'RA3-Backfilled Pits'!$A$9:$BN$9,1),FALSE),0)+IFERROR(VLOOKUP($B22,'RA4-Tracks_Roads'!$A$11:$BN$18,MATCH(Summary!S$1,'RA4-Tracks_Roads'!$A$9:$BN$9,1),FALSE),0)+IFERROR(VLOOKUP($B22,'RA5-ROM'!$A$11:$BN$18,MATCH(Summary!S$1,'RA5-ROM'!$A$9:$BN$9,1),FALSE),0)+IFERROR(VLOOKUP($B22,'RA6-CHPP'!$A$11:$BN$18,MATCH(Summary!S$1,'RA6-CHPP'!$A$9:$BN$9,1),FALSE),0)+IFERROR(VLOOKUP($B22,'RA7-Mine Infrastructure Area'!$A$11:$BN$18,MATCH(Summary!S$1,'RA7-Mine Infrastructure Area'!$A$9:$BN$9,1),FALSE),0)+IFERROR(VLOOKUP($B22,'RA8-Water Management Structures'!$A$11:$BN$18,MATCH(Summary!S$1,'RA8-Water Management Structures'!$A$9:$BN$9,1),FALSE),0)+IFERROR(VLOOKUP($B22,'RA9-Codisposal Upper'!$A$11:$BN$18,MATCH(Summary!S$1,'RA9-Codisposal Upper'!$A$9:$BN$9,1),FALSE),0)+IFERROR(VLOOKUP($B22,'RA10-Codisposal Slopes'!$A$11:$BN$18,MATCH(Summary!S$1,'RA10-Codisposal Slopes'!$A$9:$BN$9,1),FALSE),0)+IFERROR(VLOOKUP($B22,'IA1-Final Void inc Ramps'!$A$11:$BN$18,MATCH(Summary!S$1,'IA1-Final Void inc Ramps'!$A$9:$BN$9,1),FALSE),0)</f>
        <v>0</v>
      </c>
      <c r="T22" s="47">
        <f>IFERROR(VLOOKUP($B22,'RA1- Elevated Dumps Upper'!$A$11:$BN$18,MATCH(Summary!T$1,'RA1- Elevated Dumps Upper'!$A$9:$BN$9,1),FALSE),0)+IFERROR(VLOOKUP($B22,'RA2-Elevated Dumps Slopes'!$A$11:$BN$18,MATCH(Summary!T$1,'RA2-Elevated Dumps Slopes'!$A$9:$BN$9,1),FALSE),0)+IFERROR(VLOOKUP($B22,'RA3-Backfilled Pits'!$A$11:$BN$18,MATCH(Summary!T$1,'RA3-Backfilled Pits'!$A$9:$BN$9,1),FALSE),0)+IFERROR(VLOOKUP($B22,'RA4-Tracks_Roads'!$A$11:$BN$18,MATCH(Summary!T$1,'RA4-Tracks_Roads'!$A$9:$BN$9,1),FALSE),0)+IFERROR(VLOOKUP($B22,'RA5-ROM'!$A$11:$BN$18,MATCH(Summary!T$1,'RA5-ROM'!$A$9:$BN$9,1),FALSE),0)+IFERROR(VLOOKUP($B22,'RA6-CHPP'!$A$11:$BN$18,MATCH(Summary!T$1,'RA6-CHPP'!$A$9:$BN$9,1),FALSE),0)+IFERROR(VLOOKUP($B22,'RA7-Mine Infrastructure Area'!$A$11:$BN$18,MATCH(Summary!T$1,'RA7-Mine Infrastructure Area'!$A$9:$BN$9,1),FALSE),0)+IFERROR(VLOOKUP($B22,'RA8-Water Management Structures'!$A$11:$BN$18,MATCH(Summary!T$1,'RA8-Water Management Structures'!$A$9:$BN$9,1),FALSE),0)+IFERROR(VLOOKUP($B22,'RA9-Codisposal Upper'!$A$11:$BN$18,MATCH(Summary!T$1,'RA9-Codisposal Upper'!$A$9:$BN$9,1),FALSE),0)+IFERROR(VLOOKUP($B22,'RA10-Codisposal Slopes'!$A$11:$BN$18,MATCH(Summary!T$1,'RA10-Codisposal Slopes'!$A$9:$BN$9,1),FALSE),0)+IFERROR(VLOOKUP($B22,'IA1-Final Void inc Ramps'!$A$11:$BN$18,MATCH(Summary!T$1,'IA1-Final Void inc Ramps'!$A$9:$BN$9,1),FALSE),0)</f>
        <v>0</v>
      </c>
      <c r="U22" s="47">
        <f>IFERROR(VLOOKUP($B22,'RA1- Elevated Dumps Upper'!$A$11:$BN$18,MATCH(Summary!U$1,'RA1- Elevated Dumps Upper'!$A$9:$BN$9,1),FALSE),0)+IFERROR(VLOOKUP($B22,'RA2-Elevated Dumps Slopes'!$A$11:$BN$18,MATCH(Summary!U$1,'RA2-Elevated Dumps Slopes'!$A$9:$BN$9,1),FALSE),0)+IFERROR(VLOOKUP($B22,'RA3-Backfilled Pits'!$A$11:$BN$18,MATCH(Summary!U$1,'RA3-Backfilled Pits'!$A$9:$BN$9,1),FALSE),0)+IFERROR(VLOOKUP($B22,'RA4-Tracks_Roads'!$A$11:$BN$18,MATCH(Summary!U$1,'RA4-Tracks_Roads'!$A$9:$BN$9,1),FALSE),0)+IFERROR(VLOOKUP($B22,'RA5-ROM'!$A$11:$BN$18,MATCH(Summary!U$1,'RA5-ROM'!$A$9:$BN$9,1),FALSE),0)+IFERROR(VLOOKUP($B22,'RA6-CHPP'!$A$11:$BN$18,MATCH(Summary!U$1,'RA6-CHPP'!$A$9:$BN$9,1),FALSE),0)+IFERROR(VLOOKUP($B22,'RA7-Mine Infrastructure Area'!$A$11:$BN$18,MATCH(Summary!U$1,'RA7-Mine Infrastructure Area'!$A$9:$BN$9,1),FALSE),0)+IFERROR(VLOOKUP($B22,'RA8-Water Management Structures'!$A$11:$BN$18,MATCH(Summary!U$1,'RA8-Water Management Structures'!$A$9:$BN$9,1),FALSE),0)+IFERROR(VLOOKUP($B22,'RA9-Codisposal Upper'!$A$11:$BN$18,MATCH(Summary!U$1,'RA9-Codisposal Upper'!$A$9:$BN$9,1),FALSE),0)+IFERROR(VLOOKUP($B22,'RA10-Codisposal Slopes'!$A$11:$BN$18,MATCH(Summary!U$1,'RA10-Codisposal Slopes'!$A$9:$BN$9,1),FALSE),0)+IFERROR(VLOOKUP($B22,'IA1-Final Void inc Ramps'!$A$11:$BN$18,MATCH(Summary!U$1,'IA1-Final Void inc Ramps'!$A$9:$BN$9,1),FALSE),0)</f>
        <v>0</v>
      </c>
      <c r="V22" s="47">
        <f>IFERROR(VLOOKUP($B22,'RA1- Elevated Dumps Upper'!$A$11:$BN$18,MATCH(Summary!V$1,'RA1- Elevated Dumps Upper'!$A$9:$BN$9,1),FALSE),0)+IFERROR(VLOOKUP($B22,'RA2-Elevated Dumps Slopes'!$A$11:$BN$18,MATCH(Summary!V$1,'RA2-Elevated Dumps Slopes'!$A$9:$BN$9,1),FALSE),0)+IFERROR(VLOOKUP($B22,'RA3-Backfilled Pits'!$A$11:$BN$18,MATCH(Summary!V$1,'RA3-Backfilled Pits'!$A$9:$BN$9,1),FALSE),0)+IFERROR(VLOOKUP($B22,'RA4-Tracks_Roads'!$A$11:$BN$18,MATCH(Summary!V$1,'RA4-Tracks_Roads'!$A$9:$BN$9,1),FALSE),0)+IFERROR(VLOOKUP($B22,'RA5-ROM'!$A$11:$BN$18,MATCH(Summary!V$1,'RA5-ROM'!$A$9:$BN$9,1),FALSE),0)+IFERROR(VLOOKUP($B22,'RA6-CHPP'!$A$11:$BN$18,MATCH(Summary!V$1,'RA6-CHPP'!$A$9:$BN$9,1),FALSE),0)+IFERROR(VLOOKUP($B22,'RA7-Mine Infrastructure Area'!$A$11:$BN$18,MATCH(Summary!V$1,'RA7-Mine Infrastructure Area'!$A$9:$BN$9,1),FALSE),0)+IFERROR(VLOOKUP($B22,'RA8-Water Management Structures'!$A$11:$BN$18,MATCH(Summary!V$1,'RA8-Water Management Structures'!$A$9:$BN$9,1),FALSE),0)+IFERROR(VLOOKUP($B22,'RA9-Codisposal Upper'!$A$11:$BN$18,MATCH(Summary!V$1,'RA9-Codisposal Upper'!$A$9:$BN$9,1),FALSE),0)+IFERROR(VLOOKUP($B22,'RA10-Codisposal Slopes'!$A$11:$BN$18,MATCH(Summary!V$1,'RA10-Codisposal Slopes'!$A$9:$BN$9,1),FALSE),0)+IFERROR(VLOOKUP($B22,'IA1-Final Void inc Ramps'!$A$11:$BN$18,MATCH(Summary!V$1,'IA1-Final Void inc Ramps'!$A$9:$BN$9,1),FALSE),0)</f>
        <v>0</v>
      </c>
      <c r="W22" s="47">
        <f>IFERROR(VLOOKUP($B22,'RA1- Elevated Dumps Upper'!$A$11:$BN$18,MATCH(Summary!W$1,'RA1- Elevated Dumps Upper'!$A$9:$BN$9,1),FALSE),0)+IFERROR(VLOOKUP($B22,'RA2-Elevated Dumps Slopes'!$A$11:$BN$18,MATCH(Summary!W$1,'RA2-Elevated Dumps Slopes'!$A$9:$BN$9,1),FALSE),0)+IFERROR(VLOOKUP($B22,'RA3-Backfilled Pits'!$A$11:$BN$18,MATCH(Summary!W$1,'RA3-Backfilled Pits'!$A$9:$BN$9,1),FALSE),0)+IFERROR(VLOOKUP($B22,'RA4-Tracks_Roads'!$A$11:$BN$18,MATCH(Summary!W$1,'RA4-Tracks_Roads'!$A$9:$BN$9,1),FALSE),0)+IFERROR(VLOOKUP($B22,'RA5-ROM'!$A$11:$BN$18,MATCH(Summary!W$1,'RA5-ROM'!$A$9:$BN$9,1),FALSE),0)+IFERROR(VLOOKUP($B22,'RA6-CHPP'!$A$11:$BN$18,MATCH(Summary!W$1,'RA6-CHPP'!$A$9:$BN$9,1),FALSE),0)+IFERROR(VLOOKUP($B22,'RA7-Mine Infrastructure Area'!$A$11:$BN$18,MATCH(Summary!W$1,'RA7-Mine Infrastructure Area'!$A$9:$BN$9,1),FALSE),0)+IFERROR(VLOOKUP($B22,'RA8-Water Management Structures'!$A$11:$BN$18,MATCH(Summary!W$1,'RA8-Water Management Structures'!$A$9:$BN$9,1),FALSE),0)+IFERROR(VLOOKUP($B22,'RA9-Codisposal Upper'!$A$11:$BN$18,MATCH(Summary!W$1,'RA9-Codisposal Upper'!$A$9:$BN$9,1),FALSE),0)+IFERROR(VLOOKUP($B22,'RA10-Codisposal Slopes'!$A$11:$BN$18,MATCH(Summary!W$1,'RA10-Codisposal Slopes'!$A$9:$BN$9,1),FALSE),0)+IFERROR(VLOOKUP($B22,'IA1-Final Void inc Ramps'!$A$11:$BN$18,MATCH(Summary!W$1,'IA1-Final Void inc Ramps'!$A$9:$BN$9,1),FALSE),0)</f>
        <v>0</v>
      </c>
      <c r="X22" s="47">
        <f>IFERROR(VLOOKUP($B22,'RA1- Elevated Dumps Upper'!$A$11:$BN$18,MATCH(Summary!X$1,'RA1- Elevated Dumps Upper'!$A$9:$BN$9,1),FALSE),0)+IFERROR(VLOOKUP($B22,'RA2-Elevated Dumps Slopes'!$A$11:$BN$18,MATCH(Summary!X$1,'RA2-Elevated Dumps Slopes'!$A$9:$BN$9,1),FALSE),0)+IFERROR(VLOOKUP($B22,'RA3-Backfilled Pits'!$A$11:$BN$18,MATCH(Summary!X$1,'RA3-Backfilled Pits'!$A$9:$BN$9,1),FALSE),0)+IFERROR(VLOOKUP($B22,'RA4-Tracks_Roads'!$A$11:$BN$18,MATCH(Summary!X$1,'RA4-Tracks_Roads'!$A$9:$BN$9,1),FALSE),0)+IFERROR(VLOOKUP($B22,'RA5-ROM'!$A$11:$BN$18,MATCH(Summary!X$1,'RA5-ROM'!$A$9:$BN$9,1),FALSE),0)+IFERROR(VLOOKUP($B22,'RA6-CHPP'!$A$11:$BN$18,MATCH(Summary!X$1,'RA6-CHPP'!$A$9:$BN$9,1),FALSE),0)+IFERROR(VLOOKUP($B22,'RA7-Mine Infrastructure Area'!$A$11:$BN$18,MATCH(Summary!X$1,'RA7-Mine Infrastructure Area'!$A$9:$BN$9,1),FALSE),0)+IFERROR(VLOOKUP($B22,'RA8-Water Management Structures'!$A$11:$BN$18,MATCH(Summary!X$1,'RA8-Water Management Structures'!$A$9:$BN$9,1),FALSE),0)+IFERROR(VLOOKUP($B22,'RA9-Codisposal Upper'!$A$11:$BN$18,MATCH(Summary!X$1,'RA9-Codisposal Upper'!$A$9:$BN$9,1),FALSE),0)+IFERROR(VLOOKUP($B22,'RA10-Codisposal Slopes'!$A$11:$BN$18,MATCH(Summary!X$1,'RA10-Codisposal Slopes'!$A$9:$BN$9,1),FALSE),0)+IFERROR(VLOOKUP($B22,'IA1-Final Void inc Ramps'!$A$11:$BN$18,MATCH(Summary!X$1,'IA1-Final Void inc Ramps'!$A$9:$BN$9,1),FALSE),0)</f>
        <v>0</v>
      </c>
      <c r="Y22" s="47">
        <f>IFERROR(VLOOKUP($B22,'RA1- Elevated Dumps Upper'!$A$11:$BN$18,MATCH(Summary!Y$1,'RA1- Elevated Dumps Upper'!$A$9:$BN$9,1),FALSE),0)+IFERROR(VLOOKUP($B22,'RA2-Elevated Dumps Slopes'!$A$11:$BN$18,MATCH(Summary!Y$1,'RA2-Elevated Dumps Slopes'!$A$9:$BN$9,1),FALSE),0)+IFERROR(VLOOKUP($B22,'RA3-Backfilled Pits'!$A$11:$BN$18,MATCH(Summary!Y$1,'RA3-Backfilled Pits'!$A$9:$BN$9,1),FALSE),0)+IFERROR(VLOOKUP($B22,'RA4-Tracks_Roads'!$A$11:$BN$18,MATCH(Summary!Y$1,'RA4-Tracks_Roads'!$A$9:$BN$9,1),FALSE),0)+IFERROR(VLOOKUP($B22,'RA5-ROM'!$A$11:$BN$18,MATCH(Summary!Y$1,'RA5-ROM'!$A$9:$BN$9,1),FALSE),0)+IFERROR(VLOOKUP($B22,'RA6-CHPP'!$A$11:$BN$18,MATCH(Summary!Y$1,'RA6-CHPP'!$A$9:$BN$9,1),FALSE),0)+IFERROR(VLOOKUP($B22,'RA7-Mine Infrastructure Area'!$A$11:$BN$18,MATCH(Summary!Y$1,'RA7-Mine Infrastructure Area'!$A$9:$BN$9,1),FALSE),0)+IFERROR(VLOOKUP($B22,'RA8-Water Management Structures'!$A$11:$BN$18,MATCH(Summary!Y$1,'RA8-Water Management Structures'!$A$9:$BN$9,1),FALSE),0)+IFERROR(VLOOKUP($B22,'RA9-Codisposal Upper'!$A$11:$BN$18,MATCH(Summary!Y$1,'RA9-Codisposal Upper'!$A$9:$BN$9,1),FALSE),0)+IFERROR(VLOOKUP($B22,'RA10-Codisposal Slopes'!$A$11:$BN$18,MATCH(Summary!Y$1,'RA10-Codisposal Slopes'!$A$9:$BN$9,1),FALSE),0)+IFERROR(VLOOKUP($B22,'IA1-Final Void inc Ramps'!$A$11:$BN$18,MATCH(Summary!Y$1,'IA1-Final Void inc Ramps'!$A$9:$BN$9,1),FALSE),0)</f>
        <v>0</v>
      </c>
      <c r="Z22" s="47">
        <f>IFERROR(VLOOKUP($B22,'RA1- Elevated Dumps Upper'!$A$11:$BN$18,MATCH(Summary!Z$1,'RA1- Elevated Dumps Upper'!$A$9:$BN$9,1),FALSE),0)+IFERROR(VLOOKUP($B22,'RA2-Elevated Dumps Slopes'!$A$11:$BN$18,MATCH(Summary!Z$1,'RA2-Elevated Dumps Slopes'!$A$9:$BN$9,1),FALSE),0)+IFERROR(VLOOKUP($B22,'RA3-Backfilled Pits'!$A$11:$BN$18,MATCH(Summary!Z$1,'RA3-Backfilled Pits'!$A$9:$BN$9,1),FALSE),0)+IFERROR(VLOOKUP($B22,'RA4-Tracks_Roads'!$A$11:$BN$18,MATCH(Summary!Z$1,'RA4-Tracks_Roads'!$A$9:$BN$9,1),FALSE),0)+IFERROR(VLOOKUP($B22,'RA5-ROM'!$A$11:$BN$18,MATCH(Summary!Z$1,'RA5-ROM'!$A$9:$BN$9,1),FALSE),0)+IFERROR(VLOOKUP($B22,'RA6-CHPP'!$A$11:$BN$18,MATCH(Summary!Z$1,'RA6-CHPP'!$A$9:$BN$9,1),FALSE),0)+IFERROR(VLOOKUP($B22,'RA7-Mine Infrastructure Area'!$A$11:$BN$18,MATCH(Summary!Z$1,'RA7-Mine Infrastructure Area'!$A$9:$BN$9,1),FALSE),0)+IFERROR(VLOOKUP($B22,'RA8-Water Management Structures'!$A$11:$BN$18,MATCH(Summary!Z$1,'RA8-Water Management Structures'!$A$9:$BN$9,1),FALSE),0)+IFERROR(VLOOKUP($B22,'RA9-Codisposal Upper'!$A$11:$BN$18,MATCH(Summary!Z$1,'RA9-Codisposal Upper'!$A$9:$BN$9,1),FALSE),0)+IFERROR(VLOOKUP($B22,'RA10-Codisposal Slopes'!$A$11:$BN$18,MATCH(Summary!Z$1,'RA10-Codisposal Slopes'!$A$9:$BN$9,1),FALSE),0)+IFERROR(VLOOKUP($B22,'IA1-Final Void inc Ramps'!$A$11:$BN$18,MATCH(Summary!Z$1,'IA1-Final Void inc Ramps'!$A$9:$BN$9,1),FALSE),0)</f>
        <v>0</v>
      </c>
      <c r="AA22" s="47">
        <f>IFERROR(VLOOKUP($B22,'RA1- Elevated Dumps Upper'!$A$11:$BN$18,MATCH(Summary!AA$1,'RA1- Elevated Dumps Upper'!$A$9:$BN$9,1),FALSE),0)+IFERROR(VLOOKUP($B22,'RA2-Elevated Dumps Slopes'!$A$11:$BN$18,MATCH(Summary!AA$1,'RA2-Elevated Dumps Slopes'!$A$9:$BN$9,1),FALSE),0)+IFERROR(VLOOKUP($B22,'RA3-Backfilled Pits'!$A$11:$BN$18,MATCH(Summary!AA$1,'RA3-Backfilled Pits'!$A$9:$BN$9,1),FALSE),0)+IFERROR(VLOOKUP($B22,'RA4-Tracks_Roads'!$A$11:$BN$18,MATCH(Summary!AA$1,'RA4-Tracks_Roads'!$A$9:$BN$9,1),FALSE),0)+IFERROR(VLOOKUP($B22,'RA5-ROM'!$A$11:$BN$18,MATCH(Summary!AA$1,'RA5-ROM'!$A$9:$BN$9,1),FALSE),0)+IFERROR(VLOOKUP($B22,'RA6-CHPP'!$A$11:$BN$18,MATCH(Summary!AA$1,'RA6-CHPP'!$A$9:$BN$9,1),FALSE),0)+IFERROR(VLOOKUP($B22,'RA7-Mine Infrastructure Area'!$A$11:$BN$18,MATCH(Summary!AA$1,'RA7-Mine Infrastructure Area'!$A$9:$BN$9,1),FALSE),0)+IFERROR(VLOOKUP($B22,'RA8-Water Management Structures'!$A$11:$BN$18,MATCH(Summary!AA$1,'RA8-Water Management Structures'!$A$9:$BN$9,1),FALSE),0)+IFERROR(VLOOKUP($B22,'RA9-Codisposal Upper'!$A$11:$BN$18,MATCH(Summary!AA$1,'RA9-Codisposal Upper'!$A$9:$BN$9,1),FALSE),0)+IFERROR(VLOOKUP($B22,'RA10-Codisposal Slopes'!$A$11:$BN$18,MATCH(Summary!AA$1,'RA10-Codisposal Slopes'!$A$9:$BN$9,1),FALSE),0)+IFERROR(VLOOKUP($B22,'IA1-Final Void inc Ramps'!$A$11:$BN$18,MATCH(Summary!AA$1,'IA1-Final Void inc Ramps'!$A$9:$BN$9,1),FALSE),0)</f>
        <v>0</v>
      </c>
      <c r="AB22" s="47">
        <f>IFERROR(VLOOKUP($B22,'RA1- Elevated Dumps Upper'!$A$11:$BN$18,MATCH(Summary!AB$1,'RA1- Elevated Dumps Upper'!$A$9:$BN$9,1),FALSE),0)+IFERROR(VLOOKUP($B22,'RA2-Elevated Dumps Slopes'!$A$11:$BN$18,MATCH(Summary!AB$1,'RA2-Elevated Dumps Slopes'!$A$9:$BN$9,1),FALSE),0)+IFERROR(VLOOKUP($B22,'RA3-Backfilled Pits'!$A$11:$BN$18,MATCH(Summary!AB$1,'RA3-Backfilled Pits'!$A$9:$BN$9,1),FALSE),0)+IFERROR(VLOOKUP($B22,'RA4-Tracks_Roads'!$A$11:$BN$18,MATCH(Summary!AB$1,'RA4-Tracks_Roads'!$A$9:$BN$9,1),FALSE),0)+IFERROR(VLOOKUP($B22,'RA5-ROM'!$A$11:$BN$18,MATCH(Summary!AB$1,'RA5-ROM'!$A$9:$BN$9,1),FALSE),0)+IFERROR(VLOOKUP($B22,'RA6-CHPP'!$A$11:$BN$18,MATCH(Summary!AB$1,'RA6-CHPP'!$A$9:$BN$9,1),FALSE),0)+IFERROR(VLOOKUP($B22,'RA7-Mine Infrastructure Area'!$A$11:$BN$18,MATCH(Summary!AB$1,'RA7-Mine Infrastructure Area'!$A$9:$BN$9,1),FALSE),0)+IFERROR(VLOOKUP($B22,'RA8-Water Management Structures'!$A$11:$BN$18,MATCH(Summary!AB$1,'RA8-Water Management Structures'!$A$9:$BN$9,1),FALSE),0)+IFERROR(VLOOKUP($B22,'RA9-Codisposal Upper'!$A$11:$BN$18,MATCH(Summary!AB$1,'RA9-Codisposal Upper'!$A$9:$BN$9,1),FALSE),0)+IFERROR(VLOOKUP($B22,'RA10-Codisposal Slopes'!$A$11:$BN$18,MATCH(Summary!AB$1,'RA10-Codisposal Slopes'!$A$9:$BN$9,1),FALSE),0)+IFERROR(VLOOKUP($B22,'IA1-Final Void inc Ramps'!$A$11:$BN$18,MATCH(Summary!AB$1,'IA1-Final Void inc Ramps'!$A$9:$BN$9,1),FALSE),0)</f>
        <v>0</v>
      </c>
      <c r="AC22" s="47">
        <f>IFERROR(VLOOKUP($B22,'RA1- Elevated Dumps Upper'!$A$11:$BN$18,MATCH(Summary!AC$1,'RA1- Elevated Dumps Upper'!$A$9:$BN$9,1),FALSE),0)+IFERROR(VLOOKUP($B22,'RA2-Elevated Dumps Slopes'!$A$11:$BN$18,MATCH(Summary!AC$1,'RA2-Elevated Dumps Slopes'!$A$9:$BN$9,1),FALSE),0)+IFERROR(VLOOKUP($B22,'RA3-Backfilled Pits'!$A$11:$BN$18,MATCH(Summary!AC$1,'RA3-Backfilled Pits'!$A$9:$BN$9,1),FALSE),0)+IFERROR(VLOOKUP($B22,'RA4-Tracks_Roads'!$A$11:$BN$18,MATCH(Summary!AC$1,'RA4-Tracks_Roads'!$A$9:$BN$9,1),FALSE),0)+IFERROR(VLOOKUP($B22,'RA5-ROM'!$A$11:$BN$18,MATCH(Summary!AC$1,'RA5-ROM'!$A$9:$BN$9,1),FALSE),0)+IFERROR(VLOOKUP($B22,'RA6-CHPP'!$A$11:$BN$18,MATCH(Summary!AC$1,'RA6-CHPP'!$A$9:$BN$9,1),FALSE),0)+IFERROR(VLOOKUP($B22,'RA7-Mine Infrastructure Area'!$A$11:$BN$18,MATCH(Summary!AC$1,'RA7-Mine Infrastructure Area'!$A$9:$BN$9,1),FALSE),0)+IFERROR(VLOOKUP($B22,'RA8-Water Management Structures'!$A$11:$BN$18,MATCH(Summary!AC$1,'RA8-Water Management Structures'!$A$9:$BN$9,1),FALSE),0)+IFERROR(VLOOKUP($B22,'RA9-Codisposal Upper'!$A$11:$BN$18,MATCH(Summary!AC$1,'RA9-Codisposal Upper'!$A$9:$BN$9,1),FALSE),0)+IFERROR(VLOOKUP($B22,'RA10-Codisposal Slopes'!$A$11:$BN$18,MATCH(Summary!AC$1,'RA10-Codisposal Slopes'!$A$9:$BN$9,1),FALSE),0)+IFERROR(VLOOKUP($B22,'IA1-Final Void inc Ramps'!$A$11:$BN$18,MATCH(Summary!AC$1,'IA1-Final Void inc Ramps'!$A$9:$BN$9,1),FALSE),0)</f>
        <v>0</v>
      </c>
      <c r="AD22" s="47">
        <f>IFERROR(VLOOKUP($B22,'RA1- Elevated Dumps Upper'!$A$11:$BN$18,MATCH(Summary!AD$1,'RA1- Elevated Dumps Upper'!$A$9:$BN$9,1),FALSE),0)+IFERROR(VLOOKUP($B22,'RA2-Elevated Dumps Slopes'!$A$11:$BN$18,MATCH(Summary!AD$1,'RA2-Elevated Dumps Slopes'!$A$9:$BN$9,1),FALSE),0)+IFERROR(VLOOKUP($B22,'RA3-Backfilled Pits'!$A$11:$BN$18,MATCH(Summary!AD$1,'RA3-Backfilled Pits'!$A$9:$BN$9,1),FALSE),0)+IFERROR(VLOOKUP($B22,'RA4-Tracks_Roads'!$A$11:$BN$18,MATCH(Summary!AD$1,'RA4-Tracks_Roads'!$A$9:$BN$9,1),FALSE),0)+IFERROR(VLOOKUP($B22,'RA5-ROM'!$A$11:$BN$18,MATCH(Summary!AD$1,'RA5-ROM'!$A$9:$BN$9,1),FALSE),0)+IFERROR(VLOOKUP($B22,'RA6-CHPP'!$A$11:$BN$18,MATCH(Summary!AD$1,'RA6-CHPP'!$A$9:$BN$9,1),FALSE),0)+IFERROR(VLOOKUP($B22,'RA7-Mine Infrastructure Area'!$A$11:$BN$18,MATCH(Summary!AD$1,'RA7-Mine Infrastructure Area'!$A$9:$BN$9,1),FALSE),0)+IFERROR(VLOOKUP($B22,'RA8-Water Management Structures'!$A$11:$BN$18,MATCH(Summary!AD$1,'RA8-Water Management Structures'!$A$9:$BN$9,1),FALSE),0)+IFERROR(VLOOKUP($B22,'RA9-Codisposal Upper'!$A$11:$BN$18,MATCH(Summary!AD$1,'RA9-Codisposal Upper'!$A$9:$BN$9,1),FALSE),0)+IFERROR(VLOOKUP($B22,'RA10-Codisposal Slopes'!$A$11:$BN$18,MATCH(Summary!AD$1,'RA10-Codisposal Slopes'!$A$9:$BN$9,1),FALSE),0)+IFERROR(VLOOKUP($B22,'IA1-Final Void inc Ramps'!$A$11:$BN$18,MATCH(Summary!AD$1,'IA1-Final Void inc Ramps'!$A$9:$BN$9,1),FALSE),0)</f>
        <v>0</v>
      </c>
      <c r="AE22" s="47">
        <f>IFERROR(VLOOKUP($B22,'RA1- Elevated Dumps Upper'!$A$11:$BN$18,MATCH(Summary!AE$1,'RA1- Elevated Dumps Upper'!$A$9:$BN$9,1),FALSE),0)+IFERROR(VLOOKUP($B22,'RA2-Elevated Dumps Slopes'!$A$11:$BN$18,MATCH(Summary!AE$1,'RA2-Elevated Dumps Slopes'!$A$9:$BN$9,1),FALSE),0)+IFERROR(VLOOKUP($B22,'RA3-Backfilled Pits'!$A$11:$BN$18,MATCH(Summary!AE$1,'RA3-Backfilled Pits'!$A$9:$BN$9,1),FALSE),0)+IFERROR(VLOOKUP($B22,'RA4-Tracks_Roads'!$A$11:$BN$18,MATCH(Summary!AE$1,'RA4-Tracks_Roads'!$A$9:$BN$9,1),FALSE),0)+IFERROR(VLOOKUP($B22,'RA5-ROM'!$A$11:$BN$18,MATCH(Summary!AE$1,'RA5-ROM'!$A$9:$BN$9,1),FALSE),0)+IFERROR(VLOOKUP($B22,'RA6-CHPP'!$A$11:$BN$18,MATCH(Summary!AE$1,'RA6-CHPP'!$A$9:$BN$9,1),FALSE),0)+IFERROR(VLOOKUP($B22,'RA7-Mine Infrastructure Area'!$A$11:$BN$18,MATCH(Summary!AE$1,'RA7-Mine Infrastructure Area'!$A$9:$BN$9,1),FALSE),0)+IFERROR(VLOOKUP($B22,'RA8-Water Management Structures'!$A$11:$BN$18,MATCH(Summary!AE$1,'RA8-Water Management Structures'!$A$9:$BN$9,1),FALSE),0)+IFERROR(VLOOKUP($B22,'RA9-Codisposal Upper'!$A$11:$BN$18,MATCH(Summary!AE$1,'RA9-Codisposal Upper'!$A$9:$BN$9,1),FALSE),0)+IFERROR(VLOOKUP($B22,'RA10-Codisposal Slopes'!$A$11:$BN$18,MATCH(Summary!AE$1,'RA10-Codisposal Slopes'!$A$9:$BN$9,1),FALSE),0)+IFERROR(VLOOKUP($B22,'IA1-Final Void inc Ramps'!$A$11:$BN$18,MATCH(Summary!AE$1,'IA1-Final Void inc Ramps'!$A$9:$BN$9,1),FALSE),0)</f>
        <v>0</v>
      </c>
      <c r="AF22" s="47">
        <f>IFERROR(VLOOKUP($B22,'RA1- Elevated Dumps Upper'!$A$11:$BN$18,MATCH(Summary!AF$1,'RA1- Elevated Dumps Upper'!$A$9:$BN$9,1),FALSE),0)+IFERROR(VLOOKUP($B22,'RA2-Elevated Dumps Slopes'!$A$11:$BN$18,MATCH(Summary!AF$1,'RA2-Elevated Dumps Slopes'!$A$9:$BN$9,1),FALSE),0)+IFERROR(VLOOKUP($B22,'RA3-Backfilled Pits'!$A$11:$BN$18,MATCH(Summary!AF$1,'RA3-Backfilled Pits'!$A$9:$BN$9,1),FALSE),0)+IFERROR(VLOOKUP($B22,'RA4-Tracks_Roads'!$A$11:$BN$18,MATCH(Summary!AF$1,'RA4-Tracks_Roads'!$A$9:$BN$9,1),FALSE),0)+IFERROR(VLOOKUP($B22,'RA5-ROM'!$A$11:$BN$18,MATCH(Summary!AF$1,'RA5-ROM'!$A$9:$BN$9,1),FALSE),0)+IFERROR(VLOOKUP($B22,'RA6-CHPP'!$A$11:$BN$18,MATCH(Summary!AF$1,'RA6-CHPP'!$A$9:$BN$9,1),FALSE),0)+IFERROR(VLOOKUP($B22,'RA7-Mine Infrastructure Area'!$A$11:$BN$18,MATCH(Summary!AF$1,'RA7-Mine Infrastructure Area'!$A$9:$BN$9,1),FALSE),0)+IFERROR(VLOOKUP($B22,'RA8-Water Management Structures'!$A$11:$BN$18,MATCH(Summary!AF$1,'RA8-Water Management Structures'!$A$9:$BN$9,1),FALSE),0)+IFERROR(VLOOKUP($B22,'RA9-Codisposal Upper'!$A$11:$BN$18,MATCH(Summary!AF$1,'RA9-Codisposal Upper'!$A$9:$BN$9,1),FALSE),0)+IFERROR(VLOOKUP($B22,'RA10-Codisposal Slopes'!$A$11:$BN$18,MATCH(Summary!AF$1,'RA10-Codisposal Slopes'!$A$9:$BN$9,1),FALSE),0)+IFERROR(VLOOKUP($B22,'IA1-Final Void inc Ramps'!$A$11:$BN$18,MATCH(Summary!AF$1,'IA1-Final Void inc Ramps'!$A$9:$BN$9,1),FALSE),0)</f>
        <v>0</v>
      </c>
      <c r="AG22" s="47">
        <f>IFERROR(VLOOKUP($B22,'RA1- Elevated Dumps Upper'!$A$11:$BN$18,MATCH(Summary!AG$1,'RA1- Elevated Dumps Upper'!$A$9:$BN$9,1),FALSE),0)+IFERROR(VLOOKUP($B22,'RA2-Elevated Dumps Slopes'!$A$11:$BN$18,MATCH(Summary!AG$1,'RA2-Elevated Dumps Slopes'!$A$9:$BN$9,1),FALSE),0)+IFERROR(VLOOKUP($B22,'RA3-Backfilled Pits'!$A$11:$BN$18,MATCH(Summary!AG$1,'RA3-Backfilled Pits'!$A$9:$BN$9,1),FALSE),0)+IFERROR(VLOOKUP($B22,'RA4-Tracks_Roads'!$A$11:$BN$18,MATCH(Summary!AG$1,'RA4-Tracks_Roads'!$A$9:$BN$9,1),FALSE),0)+IFERROR(VLOOKUP($B22,'RA5-ROM'!$A$11:$BN$18,MATCH(Summary!AG$1,'RA5-ROM'!$A$9:$BN$9,1),FALSE),0)+IFERROR(VLOOKUP($B22,'RA6-CHPP'!$A$11:$BN$18,MATCH(Summary!AG$1,'RA6-CHPP'!$A$9:$BN$9,1),FALSE),0)+IFERROR(VLOOKUP($B22,'RA7-Mine Infrastructure Area'!$A$11:$BN$18,MATCH(Summary!AG$1,'RA7-Mine Infrastructure Area'!$A$9:$BN$9,1),FALSE),0)+IFERROR(VLOOKUP($B22,'RA8-Water Management Structures'!$A$11:$BN$18,MATCH(Summary!AG$1,'RA8-Water Management Structures'!$A$9:$BN$9,1),FALSE),0)+IFERROR(VLOOKUP($B22,'RA9-Codisposal Upper'!$A$11:$BN$18,MATCH(Summary!AG$1,'RA9-Codisposal Upper'!$A$9:$BN$9,1),FALSE),0)+IFERROR(VLOOKUP($B22,'RA10-Codisposal Slopes'!$A$11:$BN$18,MATCH(Summary!AG$1,'RA10-Codisposal Slopes'!$A$9:$BN$9,1),FALSE),0)+IFERROR(VLOOKUP($B22,'IA1-Final Void inc Ramps'!$A$11:$BN$18,MATCH(Summary!AG$1,'IA1-Final Void inc Ramps'!$A$9:$BN$9,1),FALSE),0)</f>
        <v>0</v>
      </c>
      <c r="AH22" s="47">
        <f>IFERROR(VLOOKUP($B22,'RA1- Elevated Dumps Upper'!$A$11:$BN$18,MATCH(Summary!AH$1,'RA1- Elevated Dumps Upper'!$A$9:$BN$9,1),FALSE),0)+IFERROR(VLOOKUP($B22,'RA2-Elevated Dumps Slopes'!$A$11:$BN$18,MATCH(Summary!AH$1,'RA2-Elevated Dumps Slopes'!$A$9:$BN$9,1),FALSE),0)+IFERROR(VLOOKUP($B22,'RA3-Backfilled Pits'!$A$11:$BN$18,MATCH(Summary!AH$1,'RA3-Backfilled Pits'!$A$9:$BN$9,1),FALSE),0)+IFERROR(VLOOKUP($B22,'RA4-Tracks_Roads'!$A$11:$BN$18,MATCH(Summary!AH$1,'RA4-Tracks_Roads'!$A$9:$BN$9,1),FALSE),0)+IFERROR(VLOOKUP($B22,'RA5-ROM'!$A$11:$BN$18,MATCH(Summary!AH$1,'RA5-ROM'!$A$9:$BN$9,1),FALSE),0)+IFERROR(VLOOKUP($B22,'RA6-CHPP'!$A$11:$BN$18,MATCH(Summary!AH$1,'RA6-CHPP'!$A$9:$BN$9,1),FALSE),0)+IFERROR(VLOOKUP($B22,'RA7-Mine Infrastructure Area'!$A$11:$BN$18,MATCH(Summary!AH$1,'RA7-Mine Infrastructure Area'!$A$9:$BN$9,1),FALSE),0)+IFERROR(VLOOKUP($B22,'RA8-Water Management Structures'!$A$11:$BN$18,MATCH(Summary!AH$1,'RA8-Water Management Structures'!$A$9:$BN$9,1),FALSE),0)+IFERROR(VLOOKUP($B22,'RA9-Codisposal Upper'!$A$11:$BN$18,MATCH(Summary!AH$1,'RA9-Codisposal Upper'!$A$9:$BN$9,1),FALSE),0)+IFERROR(VLOOKUP($B22,'RA10-Codisposal Slopes'!$A$11:$BN$18,MATCH(Summary!AH$1,'RA10-Codisposal Slopes'!$A$9:$BN$9,1),FALSE),0)+IFERROR(VLOOKUP($B22,'IA1-Final Void inc Ramps'!$A$11:$BN$18,MATCH(Summary!AH$1,'IA1-Final Void inc Ramps'!$A$9:$BN$9,1),FALSE),0)</f>
        <v>40</v>
      </c>
      <c r="AI22" s="47">
        <f>IFERROR(VLOOKUP($B22,'RA1- Elevated Dumps Upper'!$A$11:$BN$18,MATCH(Summary!AI$1,'RA1- Elevated Dumps Upper'!$A$9:$BN$9,1),FALSE),0)+IFERROR(VLOOKUP($B22,'RA2-Elevated Dumps Slopes'!$A$11:$BN$18,MATCH(Summary!AI$1,'RA2-Elevated Dumps Slopes'!$A$9:$BN$9,1),FALSE),0)+IFERROR(VLOOKUP($B22,'RA3-Backfilled Pits'!$A$11:$BN$18,MATCH(Summary!AI$1,'RA3-Backfilled Pits'!$A$9:$BN$9,1),FALSE),0)+IFERROR(VLOOKUP($B22,'RA4-Tracks_Roads'!$A$11:$BN$18,MATCH(Summary!AI$1,'RA4-Tracks_Roads'!$A$9:$BN$9,1),FALSE),0)+IFERROR(VLOOKUP($B22,'RA5-ROM'!$A$11:$BN$18,MATCH(Summary!AI$1,'RA5-ROM'!$A$9:$BN$9,1),FALSE),0)+IFERROR(VLOOKUP($B22,'RA6-CHPP'!$A$11:$BN$18,MATCH(Summary!AI$1,'RA6-CHPP'!$A$9:$BN$9,1),FALSE),0)+IFERROR(VLOOKUP($B22,'RA7-Mine Infrastructure Area'!$A$11:$BN$18,MATCH(Summary!AI$1,'RA7-Mine Infrastructure Area'!$A$9:$BN$9,1),FALSE),0)+IFERROR(VLOOKUP($B22,'RA8-Water Management Structures'!$A$11:$BN$18,MATCH(Summary!AI$1,'RA8-Water Management Structures'!$A$9:$BN$9,1),FALSE),0)+IFERROR(VLOOKUP($B22,'RA9-Codisposal Upper'!$A$11:$BN$18,MATCH(Summary!AI$1,'RA9-Codisposal Upper'!$A$9:$BN$9,1),FALSE),0)+IFERROR(VLOOKUP($B22,'RA10-Codisposal Slopes'!$A$11:$BN$18,MATCH(Summary!AI$1,'RA10-Codisposal Slopes'!$A$9:$BN$9,1),FALSE),0)+IFERROR(VLOOKUP($B22,'IA1-Final Void inc Ramps'!$A$11:$BN$18,MATCH(Summary!AI$1,'IA1-Final Void inc Ramps'!$A$9:$BN$9,1),FALSE),0)</f>
        <v>40</v>
      </c>
      <c r="AJ22" s="47">
        <f>IFERROR(VLOOKUP($B22,'RA1- Elevated Dumps Upper'!$A$11:$BN$18,MATCH(Summary!AJ$1,'RA1- Elevated Dumps Upper'!$A$9:$BN$9,1),FALSE),0)+IFERROR(VLOOKUP($B22,'RA2-Elevated Dumps Slopes'!$A$11:$BN$18,MATCH(Summary!AJ$1,'RA2-Elevated Dumps Slopes'!$A$9:$BN$9,1),FALSE),0)+IFERROR(VLOOKUP($B22,'RA3-Backfilled Pits'!$A$11:$BN$18,MATCH(Summary!AJ$1,'RA3-Backfilled Pits'!$A$9:$BN$9,1),FALSE),0)+IFERROR(VLOOKUP($B22,'RA4-Tracks_Roads'!$A$11:$BN$18,MATCH(Summary!AJ$1,'RA4-Tracks_Roads'!$A$9:$BN$9,1),FALSE),0)+IFERROR(VLOOKUP($B22,'RA5-ROM'!$A$11:$BN$18,MATCH(Summary!AJ$1,'RA5-ROM'!$A$9:$BN$9,1),FALSE),0)+IFERROR(VLOOKUP($B22,'RA6-CHPP'!$A$11:$BN$18,MATCH(Summary!AJ$1,'RA6-CHPP'!$A$9:$BN$9,1),FALSE),0)+IFERROR(VLOOKUP($B22,'RA7-Mine Infrastructure Area'!$A$11:$BN$18,MATCH(Summary!AJ$1,'RA7-Mine Infrastructure Area'!$A$9:$BN$9,1),FALSE),0)+IFERROR(VLOOKUP($B22,'RA8-Water Management Structures'!$A$11:$BN$18,MATCH(Summary!AJ$1,'RA8-Water Management Structures'!$A$9:$BN$9,1),FALSE),0)+IFERROR(VLOOKUP($B22,'RA9-Codisposal Upper'!$A$11:$BN$18,MATCH(Summary!AJ$1,'RA9-Codisposal Upper'!$A$9:$BN$9,1),FALSE),0)+IFERROR(VLOOKUP($B22,'RA10-Codisposal Slopes'!$A$11:$BN$18,MATCH(Summary!AJ$1,'RA10-Codisposal Slopes'!$A$9:$BN$9,1),FALSE),0)+IFERROR(VLOOKUP($B22,'IA1-Final Void inc Ramps'!$A$11:$BN$18,MATCH(Summary!AJ$1,'IA1-Final Void inc Ramps'!$A$9:$BN$9,1),FALSE),0)</f>
        <v>40</v>
      </c>
      <c r="AK22" s="47">
        <f>IFERROR(VLOOKUP($B22,'RA1- Elevated Dumps Upper'!$A$11:$BN$18,MATCH(Summary!AK$1,'RA1- Elevated Dumps Upper'!$A$9:$BN$9,1),FALSE),0)+IFERROR(VLOOKUP($B22,'RA2-Elevated Dumps Slopes'!$A$11:$BN$18,MATCH(Summary!AK$1,'RA2-Elevated Dumps Slopes'!$A$9:$BN$9,1),FALSE),0)+IFERROR(VLOOKUP($B22,'RA3-Backfilled Pits'!$A$11:$BN$18,MATCH(Summary!AK$1,'RA3-Backfilled Pits'!$A$9:$BN$9,1),FALSE),0)+IFERROR(VLOOKUP($B22,'RA4-Tracks_Roads'!$A$11:$BN$18,MATCH(Summary!AK$1,'RA4-Tracks_Roads'!$A$9:$BN$9,1),FALSE),0)+IFERROR(VLOOKUP($B22,'RA5-ROM'!$A$11:$BN$18,MATCH(Summary!AK$1,'RA5-ROM'!$A$9:$BN$9,1),FALSE),0)+IFERROR(VLOOKUP($B22,'RA6-CHPP'!$A$11:$BN$18,MATCH(Summary!AK$1,'RA6-CHPP'!$A$9:$BN$9,1),FALSE),0)+IFERROR(VLOOKUP($B22,'RA7-Mine Infrastructure Area'!$A$11:$BN$18,MATCH(Summary!AK$1,'RA7-Mine Infrastructure Area'!$A$9:$BN$9,1),FALSE),0)+IFERROR(VLOOKUP($B22,'RA8-Water Management Structures'!$A$11:$BN$18,MATCH(Summary!AK$1,'RA8-Water Management Structures'!$A$9:$BN$9,1),FALSE),0)+IFERROR(VLOOKUP($B22,'RA9-Codisposal Upper'!$A$11:$BN$18,MATCH(Summary!AK$1,'RA9-Codisposal Upper'!$A$9:$BN$9,1),FALSE),0)+IFERROR(VLOOKUP($B22,'RA10-Codisposal Slopes'!$A$11:$BN$18,MATCH(Summary!AK$1,'RA10-Codisposal Slopes'!$A$9:$BN$9,1),FALSE),0)+IFERROR(VLOOKUP($B22,'IA1-Final Void inc Ramps'!$A$11:$BN$18,MATCH(Summary!AK$1,'IA1-Final Void inc Ramps'!$A$9:$BN$9,1),FALSE),0)</f>
        <v>40</v>
      </c>
      <c r="AL22" s="47">
        <f>IFERROR(VLOOKUP($B22,'RA1- Elevated Dumps Upper'!$A$11:$BN$18,MATCH(Summary!AL$1,'RA1- Elevated Dumps Upper'!$A$9:$BN$9,1),FALSE),0)+IFERROR(VLOOKUP($B22,'RA2-Elevated Dumps Slopes'!$A$11:$BN$18,MATCH(Summary!AL$1,'RA2-Elevated Dumps Slopes'!$A$9:$BN$9,1),FALSE),0)+IFERROR(VLOOKUP($B22,'RA3-Backfilled Pits'!$A$11:$BN$18,MATCH(Summary!AL$1,'RA3-Backfilled Pits'!$A$9:$BN$9,1),FALSE),0)+IFERROR(VLOOKUP($B22,'RA4-Tracks_Roads'!$A$11:$BN$18,MATCH(Summary!AL$1,'RA4-Tracks_Roads'!$A$9:$BN$9,1),FALSE),0)+IFERROR(VLOOKUP($B22,'RA5-ROM'!$A$11:$BN$18,MATCH(Summary!AL$1,'RA5-ROM'!$A$9:$BN$9,1),FALSE),0)+IFERROR(VLOOKUP($B22,'RA6-CHPP'!$A$11:$BN$18,MATCH(Summary!AL$1,'RA6-CHPP'!$A$9:$BN$9,1),FALSE),0)+IFERROR(VLOOKUP($B22,'RA7-Mine Infrastructure Area'!$A$11:$BN$18,MATCH(Summary!AL$1,'RA7-Mine Infrastructure Area'!$A$9:$BN$9,1),FALSE),0)+IFERROR(VLOOKUP($B22,'RA8-Water Management Structures'!$A$11:$BN$18,MATCH(Summary!AL$1,'RA8-Water Management Structures'!$A$9:$BN$9,1),FALSE),0)+IFERROR(VLOOKUP($B22,'RA9-Codisposal Upper'!$A$11:$BN$18,MATCH(Summary!AL$1,'RA9-Codisposal Upper'!$A$9:$BN$9,1),FALSE),0)+IFERROR(VLOOKUP($B22,'RA10-Codisposal Slopes'!$A$11:$BN$18,MATCH(Summary!AL$1,'RA10-Codisposal Slopes'!$A$9:$BN$9,1),FALSE),0)+IFERROR(VLOOKUP($B22,'IA1-Final Void inc Ramps'!$A$11:$BN$18,MATCH(Summary!AL$1,'IA1-Final Void inc Ramps'!$A$9:$BN$9,1),FALSE),0)</f>
        <v>40</v>
      </c>
      <c r="AM22" s="47">
        <f>IFERROR(VLOOKUP($B22,'RA1- Elevated Dumps Upper'!$A$11:$BN$18,MATCH(Summary!AM$1,'RA1- Elevated Dumps Upper'!$A$9:$BN$9,1),FALSE),0)+IFERROR(VLOOKUP($B22,'RA2-Elevated Dumps Slopes'!$A$11:$BN$18,MATCH(Summary!AM$1,'RA2-Elevated Dumps Slopes'!$A$9:$BN$9,1),FALSE),0)+IFERROR(VLOOKUP($B22,'RA3-Backfilled Pits'!$A$11:$BN$18,MATCH(Summary!AM$1,'RA3-Backfilled Pits'!$A$9:$BN$9,1),FALSE),0)+IFERROR(VLOOKUP($B22,'RA4-Tracks_Roads'!$A$11:$BN$18,MATCH(Summary!AM$1,'RA4-Tracks_Roads'!$A$9:$BN$9,1),FALSE),0)+IFERROR(VLOOKUP($B22,'RA5-ROM'!$A$11:$BN$18,MATCH(Summary!AM$1,'RA5-ROM'!$A$9:$BN$9,1),FALSE),0)+IFERROR(VLOOKUP($B22,'RA6-CHPP'!$A$11:$BN$18,MATCH(Summary!AM$1,'RA6-CHPP'!$A$9:$BN$9,1),FALSE),0)+IFERROR(VLOOKUP($B22,'RA7-Mine Infrastructure Area'!$A$11:$BN$18,MATCH(Summary!AM$1,'RA7-Mine Infrastructure Area'!$A$9:$BN$9,1),FALSE),0)+IFERROR(VLOOKUP($B22,'RA8-Water Management Structures'!$A$11:$BN$18,MATCH(Summary!AM$1,'RA8-Water Management Structures'!$A$9:$BN$9,1),FALSE),0)+IFERROR(VLOOKUP($B22,'RA9-Codisposal Upper'!$A$11:$BN$18,MATCH(Summary!AM$1,'RA9-Codisposal Upper'!$A$9:$BN$9,1),FALSE),0)+IFERROR(VLOOKUP($B22,'RA10-Codisposal Slopes'!$A$11:$BN$18,MATCH(Summary!AM$1,'RA10-Codisposal Slopes'!$A$9:$BN$9,1),FALSE),0)+IFERROR(VLOOKUP($B22,'IA1-Final Void inc Ramps'!$A$11:$BN$18,MATCH(Summary!AM$1,'IA1-Final Void inc Ramps'!$A$9:$BN$9,1),FALSE),0)</f>
        <v>182</v>
      </c>
      <c r="AN22" s="47">
        <f>IFERROR(VLOOKUP($B22,'RA1- Elevated Dumps Upper'!$A$11:$BN$18,MATCH(Summary!AN$1,'RA1- Elevated Dumps Upper'!$A$9:$BN$9,1),FALSE),0)+IFERROR(VLOOKUP($B22,'RA2-Elevated Dumps Slopes'!$A$11:$BN$18,MATCH(Summary!AN$1,'RA2-Elevated Dumps Slopes'!$A$9:$BN$9,1),FALSE),0)+IFERROR(VLOOKUP($B22,'RA3-Backfilled Pits'!$A$11:$BN$18,MATCH(Summary!AN$1,'RA3-Backfilled Pits'!$A$9:$BN$9,1),FALSE),0)+IFERROR(VLOOKUP($B22,'RA4-Tracks_Roads'!$A$11:$BN$18,MATCH(Summary!AN$1,'RA4-Tracks_Roads'!$A$9:$BN$9,1),FALSE),0)+IFERROR(VLOOKUP($B22,'RA5-ROM'!$A$11:$BN$18,MATCH(Summary!AN$1,'RA5-ROM'!$A$9:$BN$9,1),FALSE),0)+IFERROR(VLOOKUP($B22,'RA6-CHPP'!$A$11:$BN$18,MATCH(Summary!AN$1,'RA6-CHPP'!$A$9:$BN$9,1),FALSE),0)+IFERROR(VLOOKUP($B22,'RA7-Mine Infrastructure Area'!$A$11:$BN$18,MATCH(Summary!AN$1,'RA7-Mine Infrastructure Area'!$A$9:$BN$9,1),FALSE),0)+IFERROR(VLOOKUP($B22,'RA8-Water Management Structures'!$A$11:$BN$18,MATCH(Summary!AN$1,'RA8-Water Management Structures'!$A$9:$BN$9,1),FALSE),0)+IFERROR(VLOOKUP($B22,'RA9-Codisposal Upper'!$A$11:$BN$18,MATCH(Summary!AN$1,'RA9-Codisposal Upper'!$A$9:$BN$9,1),FALSE),0)+IFERROR(VLOOKUP($B22,'RA10-Codisposal Slopes'!$A$11:$BN$18,MATCH(Summary!AN$1,'RA10-Codisposal Slopes'!$A$9:$BN$9,1),FALSE),0)+IFERROR(VLOOKUP($B22,'IA1-Final Void inc Ramps'!$A$11:$BN$18,MATCH(Summary!AN$1,'IA1-Final Void inc Ramps'!$A$9:$BN$9,1),FALSE),0)</f>
        <v>182</v>
      </c>
      <c r="AO22" s="47">
        <f>IFERROR(VLOOKUP($B22,'RA1- Elevated Dumps Upper'!$A$11:$BN$18,MATCH(Summary!AO$1,'RA1- Elevated Dumps Upper'!$A$9:$BN$9,1),FALSE),0)+IFERROR(VLOOKUP($B22,'RA2-Elevated Dumps Slopes'!$A$11:$BN$18,MATCH(Summary!AO$1,'RA2-Elevated Dumps Slopes'!$A$9:$BN$9,1),FALSE),0)+IFERROR(VLOOKUP($B22,'RA3-Backfilled Pits'!$A$11:$BN$18,MATCH(Summary!AO$1,'RA3-Backfilled Pits'!$A$9:$BN$9,1),FALSE),0)+IFERROR(VLOOKUP($B22,'RA4-Tracks_Roads'!$A$11:$BN$18,MATCH(Summary!AO$1,'RA4-Tracks_Roads'!$A$9:$BN$9,1),FALSE),0)+IFERROR(VLOOKUP($B22,'RA5-ROM'!$A$11:$BN$18,MATCH(Summary!AO$1,'RA5-ROM'!$A$9:$BN$9,1),FALSE),0)+IFERROR(VLOOKUP($B22,'RA6-CHPP'!$A$11:$BN$18,MATCH(Summary!AO$1,'RA6-CHPP'!$A$9:$BN$9,1),FALSE),0)+IFERROR(VLOOKUP($B22,'RA7-Mine Infrastructure Area'!$A$11:$BN$18,MATCH(Summary!AO$1,'RA7-Mine Infrastructure Area'!$A$9:$BN$9,1),FALSE),0)+IFERROR(VLOOKUP($B22,'RA8-Water Management Structures'!$A$11:$BN$18,MATCH(Summary!AO$1,'RA8-Water Management Structures'!$A$9:$BN$9,1),FALSE),0)+IFERROR(VLOOKUP($B22,'RA9-Codisposal Upper'!$A$11:$BN$18,MATCH(Summary!AO$1,'RA9-Codisposal Upper'!$A$9:$BN$9,1),FALSE),0)+IFERROR(VLOOKUP($B22,'RA10-Codisposal Slopes'!$A$11:$BN$18,MATCH(Summary!AO$1,'RA10-Codisposal Slopes'!$A$9:$BN$9,1),FALSE),0)+IFERROR(VLOOKUP($B22,'IA1-Final Void inc Ramps'!$A$11:$BN$18,MATCH(Summary!AO$1,'IA1-Final Void inc Ramps'!$A$9:$BN$9,1),FALSE),0)</f>
        <v>182</v>
      </c>
      <c r="AP22" s="47">
        <f>IFERROR(VLOOKUP($B22,'RA1- Elevated Dumps Upper'!$A$11:$BN$18,MATCH(Summary!AP$1,'RA1- Elevated Dumps Upper'!$A$9:$BN$9,1),FALSE),0)+IFERROR(VLOOKUP($B22,'RA2-Elevated Dumps Slopes'!$A$11:$BN$18,MATCH(Summary!AP$1,'RA2-Elevated Dumps Slopes'!$A$9:$BN$9,1),FALSE),0)+IFERROR(VLOOKUP($B22,'RA3-Backfilled Pits'!$A$11:$BN$18,MATCH(Summary!AP$1,'RA3-Backfilled Pits'!$A$9:$BN$9,1),FALSE),0)+IFERROR(VLOOKUP($B22,'RA4-Tracks_Roads'!$A$11:$BN$18,MATCH(Summary!AP$1,'RA4-Tracks_Roads'!$A$9:$BN$9,1),FALSE),0)+IFERROR(VLOOKUP($B22,'RA5-ROM'!$A$11:$BN$18,MATCH(Summary!AP$1,'RA5-ROM'!$A$9:$BN$9,1),FALSE),0)+IFERROR(VLOOKUP($B22,'RA6-CHPP'!$A$11:$BN$18,MATCH(Summary!AP$1,'RA6-CHPP'!$A$9:$BN$9,1),FALSE),0)+IFERROR(VLOOKUP($B22,'RA7-Mine Infrastructure Area'!$A$11:$BN$18,MATCH(Summary!AP$1,'RA7-Mine Infrastructure Area'!$A$9:$BN$9,1),FALSE),0)+IFERROR(VLOOKUP($B22,'RA8-Water Management Structures'!$A$11:$BN$18,MATCH(Summary!AP$1,'RA8-Water Management Structures'!$A$9:$BN$9,1),FALSE),0)+IFERROR(VLOOKUP($B22,'RA9-Codisposal Upper'!$A$11:$BN$18,MATCH(Summary!AP$1,'RA9-Codisposal Upper'!$A$9:$BN$9,1),FALSE),0)+IFERROR(VLOOKUP($B22,'RA10-Codisposal Slopes'!$A$11:$BN$18,MATCH(Summary!AP$1,'RA10-Codisposal Slopes'!$A$9:$BN$9,1),FALSE),0)+IFERROR(VLOOKUP($B22,'IA1-Final Void inc Ramps'!$A$11:$BN$18,MATCH(Summary!AP$1,'IA1-Final Void inc Ramps'!$A$9:$BN$9,1),FALSE),0)</f>
        <v>182</v>
      </c>
      <c r="AQ22" s="47">
        <f>IFERROR(VLOOKUP($B22,'RA1- Elevated Dumps Upper'!$A$11:$BN$18,MATCH(Summary!AQ$1,'RA1- Elevated Dumps Upper'!$A$9:$BN$9,1),FALSE),0)+IFERROR(VLOOKUP($B22,'RA2-Elevated Dumps Slopes'!$A$11:$BN$18,MATCH(Summary!AQ$1,'RA2-Elevated Dumps Slopes'!$A$9:$BN$9,1),FALSE),0)+IFERROR(VLOOKUP($B22,'RA3-Backfilled Pits'!$A$11:$BN$18,MATCH(Summary!AQ$1,'RA3-Backfilled Pits'!$A$9:$BN$9,1),FALSE),0)+IFERROR(VLOOKUP($B22,'RA4-Tracks_Roads'!$A$11:$BN$18,MATCH(Summary!AQ$1,'RA4-Tracks_Roads'!$A$9:$BN$9,1),FALSE),0)+IFERROR(VLOOKUP($B22,'RA5-ROM'!$A$11:$BN$18,MATCH(Summary!AQ$1,'RA5-ROM'!$A$9:$BN$9,1),FALSE),0)+IFERROR(VLOOKUP($B22,'RA6-CHPP'!$A$11:$BN$18,MATCH(Summary!AQ$1,'RA6-CHPP'!$A$9:$BN$9,1),FALSE),0)+IFERROR(VLOOKUP($B22,'RA7-Mine Infrastructure Area'!$A$11:$BN$18,MATCH(Summary!AQ$1,'RA7-Mine Infrastructure Area'!$A$9:$BN$9,1),FALSE),0)+IFERROR(VLOOKUP($B22,'RA8-Water Management Structures'!$A$11:$BN$18,MATCH(Summary!AQ$1,'RA8-Water Management Structures'!$A$9:$BN$9,1),FALSE),0)+IFERROR(VLOOKUP($B22,'RA9-Codisposal Upper'!$A$11:$BN$18,MATCH(Summary!AQ$1,'RA9-Codisposal Upper'!$A$9:$BN$9,1),FALSE),0)+IFERROR(VLOOKUP($B22,'RA10-Codisposal Slopes'!$A$11:$BN$18,MATCH(Summary!AQ$1,'RA10-Codisposal Slopes'!$A$9:$BN$9,1),FALSE),0)+IFERROR(VLOOKUP($B22,'IA1-Final Void inc Ramps'!$A$11:$BN$18,MATCH(Summary!AQ$1,'IA1-Final Void inc Ramps'!$A$9:$BN$9,1),FALSE),0)</f>
        <v>725</v>
      </c>
      <c r="AR22" s="47">
        <f>IFERROR(VLOOKUP($B22,'RA1- Elevated Dumps Upper'!$A$11:$BN$18,MATCH(Summary!AR$1,'RA1- Elevated Dumps Upper'!$A$9:$BN$9,1),FALSE),0)+IFERROR(VLOOKUP($B22,'RA2-Elevated Dumps Slopes'!$A$11:$BN$18,MATCH(Summary!AR$1,'RA2-Elevated Dumps Slopes'!$A$9:$BN$9,1),FALSE),0)+IFERROR(VLOOKUP($B22,'RA3-Backfilled Pits'!$A$11:$BN$18,MATCH(Summary!AR$1,'RA3-Backfilled Pits'!$A$9:$BN$9,1),FALSE),0)+IFERROR(VLOOKUP($B22,'RA4-Tracks_Roads'!$A$11:$BN$18,MATCH(Summary!AR$1,'RA4-Tracks_Roads'!$A$9:$BN$9,1),FALSE),0)+IFERROR(VLOOKUP($B22,'RA5-ROM'!$A$11:$BN$18,MATCH(Summary!AR$1,'RA5-ROM'!$A$9:$BN$9,1),FALSE),0)+IFERROR(VLOOKUP($B22,'RA6-CHPP'!$A$11:$BN$18,MATCH(Summary!AR$1,'RA6-CHPP'!$A$9:$BN$9,1),FALSE),0)+IFERROR(VLOOKUP($B22,'RA7-Mine Infrastructure Area'!$A$11:$BN$18,MATCH(Summary!AR$1,'RA7-Mine Infrastructure Area'!$A$9:$BN$9,1),FALSE),0)+IFERROR(VLOOKUP($B22,'RA8-Water Management Structures'!$A$11:$BN$18,MATCH(Summary!AR$1,'RA8-Water Management Structures'!$A$9:$BN$9,1),FALSE),0)+IFERROR(VLOOKUP($B22,'RA9-Codisposal Upper'!$A$11:$BN$18,MATCH(Summary!AR$1,'RA9-Codisposal Upper'!$A$9:$BN$9,1),FALSE),0)+IFERROR(VLOOKUP($B22,'RA10-Codisposal Slopes'!$A$11:$BN$18,MATCH(Summary!AR$1,'RA10-Codisposal Slopes'!$A$9:$BN$9,1),FALSE),0)+IFERROR(VLOOKUP($B22,'IA1-Final Void inc Ramps'!$A$11:$BN$18,MATCH(Summary!AR$1,'IA1-Final Void inc Ramps'!$A$9:$BN$9,1),FALSE),0)</f>
        <v>725</v>
      </c>
      <c r="AS22" s="47">
        <f>IFERROR(VLOOKUP($B22,'RA1- Elevated Dumps Upper'!$A$11:$BN$18,MATCH(Summary!AS$1,'RA1- Elevated Dumps Upper'!$A$9:$BN$9,1),FALSE),0)+IFERROR(VLOOKUP($B22,'RA2-Elevated Dumps Slopes'!$A$11:$BN$18,MATCH(Summary!AS$1,'RA2-Elevated Dumps Slopes'!$A$9:$BN$9,1),FALSE),0)+IFERROR(VLOOKUP($B22,'RA3-Backfilled Pits'!$A$11:$BN$18,MATCH(Summary!AS$1,'RA3-Backfilled Pits'!$A$9:$BN$9,1),FALSE),0)+IFERROR(VLOOKUP($B22,'RA4-Tracks_Roads'!$A$11:$BN$18,MATCH(Summary!AS$1,'RA4-Tracks_Roads'!$A$9:$BN$9,1),FALSE),0)+IFERROR(VLOOKUP($B22,'RA5-ROM'!$A$11:$BN$18,MATCH(Summary!AS$1,'RA5-ROM'!$A$9:$BN$9,1),FALSE),0)+IFERROR(VLOOKUP($B22,'RA6-CHPP'!$A$11:$BN$18,MATCH(Summary!AS$1,'RA6-CHPP'!$A$9:$BN$9,1),FALSE),0)+IFERROR(VLOOKUP($B22,'RA7-Mine Infrastructure Area'!$A$11:$BN$18,MATCH(Summary!AS$1,'RA7-Mine Infrastructure Area'!$A$9:$BN$9,1),FALSE),0)+IFERROR(VLOOKUP($B22,'RA8-Water Management Structures'!$A$11:$BN$18,MATCH(Summary!AS$1,'RA8-Water Management Structures'!$A$9:$BN$9,1),FALSE),0)+IFERROR(VLOOKUP($B22,'RA9-Codisposal Upper'!$A$11:$BN$18,MATCH(Summary!AS$1,'RA9-Codisposal Upper'!$A$9:$BN$9,1),FALSE),0)+IFERROR(VLOOKUP($B22,'RA10-Codisposal Slopes'!$A$11:$BN$18,MATCH(Summary!AS$1,'RA10-Codisposal Slopes'!$A$9:$BN$9,1),FALSE),0)+IFERROR(VLOOKUP($B22,'IA1-Final Void inc Ramps'!$A$11:$BN$18,MATCH(Summary!AS$1,'IA1-Final Void inc Ramps'!$A$9:$BN$9,1),FALSE),0)</f>
        <v>791</v>
      </c>
      <c r="AT22" s="47">
        <f>IFERROR(VLOOKUP($B22,'RA1- Elevated Dumps Upper'!$A$11:$BN$18,MATCH(Summary!AT$1,'RA1- Elevated Dumps Upper'!$A$9:$BN$9,1),FALSE),0)+IFERROR(VLOOKUP($B22,'RA2-Elevated Dumps Slopes'!$A$11:$BN$18,MATCH(Summary!AT$1,'RA2-Elevated Dumps Slopes'!$A$9:$BN$9,1),FALSE),0)+IFERROR(VLOOKUP($B22,'RA3-Backfilled Pits'!$A$11:$BN$18,MATCH(Summary!AT$1,'RA3-Backfilled Pits'!$A$9:$BN$9,1),FALSE),0)+IFERROR(VLOOKUP($B22,'RA4-Tracks_Roads'!$A$11:$BN$18,MATCH(Summary!AT$1,'RA4-Tracks_Roads'!$A$9:$BN$9,1),FALSE),0)+IFERROR(VLOOKUP($B22,'RA5-ROM'!$A$11:$BN$18,MATCH(Summary!AT$1,'RA5-ROM'!$A$9:$BN$9,1),FALSE),0)+IFERROR(VLOOKUP($B22,'RA6-CHPP'!$A$11:$BN$18,MATCH(Summary!AT$1,'RA6-CHPP'!$A$9:$BN$9,1),FALSE),0)+IFERROR(VLOOKUP($B22,'RA7-Mine Infrastructure Area'!$A$11:$BN$18,MATCH(Summary!AT$1,'RA7-Mine Infrastructure Area'!$A$9:$BN$9,1),FALSE),0)+IFERROR(VLOOKUP($B22,'RA8-Water Management Structures'!$A$11:$BN$18,MATCH(Summary!AT$1,'RA8-Water Management Structures'!$A$9:$BN$9,1),FALSE),0)+IFERROR(VLOOKUP($B22,'RA9-Codisposal Upper'!$A$11:$BN$18,MATCH(Summary!AT$1,'RA9-Codisposal Upper'!$A$9:$BN$9,1),FALSE),0)+IFERROR(VLOOKUP($B22,'RA10-Codisposal Slopes'!$A$11:$BN$18,MATCH(Summary!AT$1,'RA10-Codisposal Slopes'!$A$9:$BN$9,1),FALSE),0)+IFERROR(VLOOKUP($B22,'IA1-Final Void inc Ramps'!$A$11:$BN$18,MATCH(Summary!AT$1,'IA1-Final Void inc Ramps'!$A$9:$BN$9,1),FALSE),0)</f>
        <v>791</v>
      </c>
      <c r="AU22" s="47">
        <f>IFERROR(VLOOKUP($B22,'RA1- Elevated Dumps Upper'!$A$11:$BN$18,MATCH(Summary!AU$1,'RA1- Elevated Dumps Upper'!$A$9:$BN$9,1),FALSE),0)+IFERROR(VLOOKUP($B22,'RA2-Elevated Dumps Slopes'!$A$11:$BN$18,MATCH(Summary!AU$1,'RA2-Elevated Dumps Slopes'!$A$9:$BN$9,1),FALSE),0)+IFERROR(VLOOKUP($B22,'RA3-Backfilled Pits'!$A$11:$BN$18,MATCH(Summary!AU$1,'RA3-Backfilled Pits'!$A$9:$BN$9,1),FALSE),0)+IFERROR(VLOOKUP($B22,'RA4-Tracks_Roads'!$A$11:$BN$18,MATCH(Summary!AU$1,'RA4-Tracks_Roads'!$A$9:$BN$9,1),FALSE),0)+IFERROR(VLOOKUP($B22,'RA5-ROM'!$A$11:$BN$18,MATCH(Summary!AU$1,'RA5-ROM'!$A$9:$BN$9,1),FALSE),0)+IFERROR(VLOOKUP($B22,'RA6-CHPP'!$A$11:$BN$18,MATCH(Summary!AU$1,'RA6-CHPP'!$A$9:$BN$9,1),FALSE),0)+IFERROR(VLOOKUP($B22,'RA7-Mine Infrastructure Area'!$A$11:$BN$18,MATCH(Summary!AU$1,'RA7-Mine Infrastructure Area'!$A$9:$BN$9,1),FALSE),0)+IFERROR(VLOOKUP($B22,'RA8-Water Management Structures'!$A$11:$BN$18,MATCH(Summary!AU$1,'RA8-Water Management Structures'!$A$9:$BN$9,1),FALSE),0)+IFERROR(VLOOKUP($B22,'RA9-Codisposal Upper'!$A$11:$BN$18,MATCH(Summary!AU$1,'RA9-Codisposal Upper'!$A$9:$BN$9,1),FALSE),0)+IFERROR(VLOOKUP($B22,'RA10-Codisposal Slopes'!$A$11:$BN$18,MATCH(Summary!AU$1,'RA10-Codisposal Slopes'!$A$9:$BN$9,1),FALSE),0)+IFERROR(VLOOKUP($B22,'IA1-Final Void inc Ramps'!$A$11:$BN$18,MATCH(Summary!AU$1,'IA1-Final Void inc Ramps'!$A$9:$BN$9,1),FALSE),0)</f>
        <v>791</v>
      </c>
      <c r="AV22" s="47">
        <f>IFERROR(VLOOKUP($B22,'RA1- Elevated Dumps Upper'!$A$11:$BN$18,MATCH(Summary!AV$1,'RA1- Elevated Dumps Upper'!$A$9:$BN$9,1),FALSE),0)+IFERROR(VLOOKUP($B22,'RA2-Elevated Dumps Slopes'!$A$11:$BN$18,MATCH(Summary!AV$1,'RA2-Elevated Dumps Slopes'!$A$9:$BN$9,1),FALSE),0)+IFERROR(VLOOKUP($B22,'RA3-Backfilled Pits'!$A$11:$BN$18,MATCH(Summary!AV$1,'RA3-Backfilled Pits'!$A$9:$BN$9,1),FALSE),0)+IFERROR(VLOOKUP($B22,'RA4-Tracks_Roads'!$A$11:$BN$18,MATCH(Summary!AV$1,'RA4-Tracks_Roads'!$A$9:$BN$9,1),FALSE),0)+IFERROR(VLOOKUP($B22,'RA5-ROM'!$A$11:$BN$18,MATCH(Summary!AV$1,'RA5-ROM'!$A$9:$BN$9,1),FALSE),0)+IFERROR(VLOOKUP($B22,'RA6-CHPP'!$A$11:$BN$18,MATCH(Summary!AV$1,'RA6-CHPP'!$A$9:$BN$9,1),FALSE),0)+IFERROR(VLOOKUP($B22,'RA7-Mine Infrastructure Area'!$A$11:$BN$18,MATCH(Summary!AV$1,'RA7-Mine Infrastructure Area'!$A$9:$BN$9,1),FALSE),0)+IFERROR(VLOOKUP($B22,'RA8-Water Management Structures'!$A$11:$BN$18,MATCH(Summary!AV$1,'RA8-Water Management Structures'!$A$9:$BN$9,1),FALSE),0)+IFERROR(VLOOKUP($B22,'RA9-Codisposal Upper'!$A$11:$BN$18,MATCH(Summary!AV$1,'RA9-Codisposal Upper'!$A$9:$BN$9,1),FALSE),0)+IFERROR(VLOOKUP($B22,'RA10-Codisposal Slopes'!$A$11:$BN$18,MATCH(Summary!AV$1,'RA10-Codisposal Slopes'!$A$9:$BN$9,1),FALSE),0)+IFERROR(VLOOKUP($B22,'IA1-Final Void inc Ramps'!$A$11:$BN$18,MATCH(Summary!AV$1,'IA1-Final Void inc Ramps'!$A$9:$BN$9,1),FALSE),0)</f>
        <v>791</v>
      </c>
      <c r="AW22" s="47">
        <f>IFERROR(VLOOKUP($B22,'RA1- Elevated Dumps Upper'!$A$11:$BN$18,MATCH(Summary!AW$1,'RA1- Elevated Dumps Upper'!$A$9:$BN$9,1),FALSE),0)+IFERROR(VLOOKUP($B22,'RA2-Elevated Dumps Slopes'!$A$11:$BN$18,MATCH(Summary!AW$1,'RA2-Elevated Dumps Slopes'!$A$9:$BN$9,1),FALSE),0)+IFERROR(VLOOKUP($B22,'RA3-Backfilled Pits'!$A$11:$BN$18,MATCH(Summary!AW$1,'RA3-Backfilled Pits'!$A$9:$BN$9,1),FALSE),0)+IFERROR(VLOOKUP($B22,'RA4-Tracks_Roads'!$A$11:$BN$18,MATCH(Summary!AW$1,'RA4-Tracks_Roads'!$A$9:$BN$9,1),FALSE),0)+IFERROR(VLOOKUP($B22,'RA5-ROM'!$A$11:$BN$18,MATCH(Summary!AW$1,'RA5-ROM'!$A$9:$BN$9,1),FALSE),0)+IFERROR(VLOOKUP($B22,'RA6-CHPP'!$A$11:$BN$18,MATCH(Summary!AW$1,'RA6-CHPP'!$A$9:$BN$9,1),FALSE),0)+IFERROR(VLOOKUP($B22,'RA7-Mine Infrastructure Area'!$A$11:$BN$18,MATCH(Summary!AW$1,'RA7-Mine Infrastructure Area'!$A$9:$BN$9,1),FALSE),0)+IFERROR(VLOOKUP($B22,'RA8-Water Management Structures'!$A$11:$BN$18,MATCH(Summary!AW$1,'RA8-Water Management Structures'!$A$9:$BN$9,1),FALSE),0)+IFERROR(VLOOKUP($B22,'RA9-Codisposal Upper'!$A$11:$BN$18,MATCH(Summary!AW$1,'RA9-Codisposal Upper'!$A$9:$BN$9,1),FALSE),0)+IFERROR(VLOOKUP($B22,'RA10-Codisposal Slopes'!$A$11:$BN$18,MATCH(Summary!AW$1,'RA10-Codisposal Slopes'!$A$9:$BN$9,1),FALSE),0)+IFERROR(VLOOKUP($B22,'IA1-Final Void inc Ramps'!$A$11:$BN$18,MATCH(Summary!AW$1,'IA1-Final Void inc Ramps'!$A$9:$BN$9,1),FALSE),0)</f>
        <v>825</v>
      </c>
      <c r="AX22" s="47">
        <f>IFERROR(VLOOKUP($B22,'RA1- Elevated Dumps Upper'!$A$11:$BN$18,MATCH(Summary!AX$1,'RA1- Elevated Dumps Upper'!$A$9:$BN$9,1),FALSE),0)+IFERROR(VLOOKUP($B22,'RA2-Elevated Dumps Slopes'!$A$11:$BN$18,MATCH(Summary!AX$1,'RA2-Elevated Dumps Slopes'!$A$9:$BN$9,1),FALSE),0)+IFERROR(VLOOKUP($B22,'RA3-Backfilled Pits'!$A$11:$BN$18,MATCH(Summary!AX$1,'RA3-Backfilled Pits'!$A$9:$BN$9,1),FALSE),0)+IFERROR(VLOOKUP($B22,'RA4-Tracks_Roads'!$A$11:$BN$18,MATCH(Summary!AX$1,'RA4-Tracks_Roads'!$A$9:$BN$9,1),FALSE),0)+IFERROR(VLOOKUP($B22,'RA5-ROM'!$A$11:$BN$18,MATCH(Summary!AX$1,'RA5-ROM'!$A$9:$BN$9,1),FALSE),0)+IFERROR(VLOOKUP($B22,'RA6-CHPP'!$A$11:$BN$18,MATCH(Summary!AX$1,'RA6-CHPP'!$A$9:$BN$9,1),FALSE),0)+IFERROR(VLOOKUP($B22,'RA7-Mine Infrastructure Area'!$A$11:$BN$18,MATCH(Summary!AX$1,'RA7-Mine Infrastructure Area'!$A$9:$BN$9,1),FALSE),0)+IFERROR(VLOOKUP($B22,'RA8-Water Management Structures'!$A$11:$BN$18,MATCH(Summary!AX$1,'RA8-Water Management Structures'!$A$9:$BN$9,1),FALSE),0)+IFERROR(VLOOKUP($B22,'RA9-Codisposal Upper'!$A$11:$BN$18,MATCH(Summary!AX$1,'RA9-Codisposal Upper'!$A$9:$BN$9,1),FALSE),0)+IFERROR(VLOOKUP($B22,'RA10-Codisposal Slopes'!$A$11:$BN$18,MATCH(Summary!AX$1,'RA10-Codisposal Slopes'!$A$9:$BN$9,1),FALSE),0)+IFERROR(VLOOKUP($B22,'IA1-Final Void inc Ramps'!$A$11:$BN$18,MATCH(Summary!AX$1,'IA1-Final Void inc Ramps'!$A$9:$BN$9,1),FALSE),0)</f>
        <v>825</v>
      </c>
      <c r="AY22" s="47">
        <f>IFERROR(VLOOKUP($B22,'RA1- Elevated Dumps Upper'!$A$11:$BN$18,MATCH(Summary!AY$1,'RA1- Elevated Dumps Upper'!$A$9:$BN$9,1),FALSE),0)+IFERROR(VLOOKUP($B22,'RA2-Elevated Dumps Slopes'!$A$11:$BN$18,MATCH(Summary!AY$1,'RA2-Elevated Dumps Slopes'!$A$9:$BN$9,1),FALSE),0)+IFERROR(VLOOKUP($B22,'RA3-Backfilled Pits'!$A$11:$BN$18,MATCH(Summary!AY$1,'RA3-Backfilled Pits'!$A$9:$BN$9,1),FALSE),0)+IFERROR(VLOOKUP($B22,'RA4-Tracks_Roads'!$A$11:$BN$18,MATCH(Summary!AY$1,'RA4-Tracks_Roads'!$A$9:$BN$9,1),FALSE),0)+IFERROR(VLOOKUP($B22,'RA5-ROM'!$A$11:$BN$18,MATCH(Summary!AY$1,'RA5-ROM'!$A$9:$BN$9,1),FALSE),0)+IFERROR(VLOOKUP($B22,'RA6-CHPP'!$A$11:$BN$18,MATCH(Summary!AY$1,'RA6-CHPP'!$A$9:$BN$9,1),FALSE),0)+IFERROR(VLOOKUP($B22,'RA7-Mine Infrastructure Area'!$A$11:$BN$18,MATCH(Summary!AY$1,'RA7-Mine Infrastructure Area'!$A$9:$BN$9,1),FALSE),0)+IFERROR(VLOOKUP($B22,'RA8-Water Management Structures'!$A$11:$BN$18,MATCH(Summary!AY$1,'RA8-Water Management Structures'!$A$9:$BN$9,1),FALSE),0)+IFERROR(VLOOKUP($B22,'RA9-Codisposal Upper'!$A$11:$BN$18,MATCH(Summary!AY$1,'RA9-Codisposal Upper'!$A$9:$BN$9,1),FALSE),0)+IFERROR(VLOOKUP($B22,'RA10-Codisposal Slopes'!$A$11:$BN$18,MATCH(Summary!AY$1,'RA10-Codisposal Slopes'!$A$9:$BN$9,1),FALSE),0)+IFERROR(VLOOKUP($B22,'IA1-Final Void inc Ramps'!$A$11:$BN$18,MATCH(Summary!AY$1,'IA1-Final Void inc Ramps'!$A$9:$BN$9,1),FALSE),0)</f>
        <v>825</v>
      </c>
      <c r="AZ22" s="47">
        <f>IFERROR(VLOOKUP($B22,'RA1- Elevated Dumps Upper'!$A$11:$BN$18,MATCH(Summary!AZ$1,'RA1- Elevated Dumps Upper'!$A$9:$BN$9,1),FALSE),0)+IFERROR(VLOOKUP($B22,'RA2-Elevated Dumps Slopes'!$A$11:$BN$18,MATCH(Summary!AZ$1,'RA2-Elevated Dumps Slopes'!$A$9:$BN$9,1),FALSE),0)+IFERROR(VLOOKUP($B22,'RA3-Backfilled Pits'!$A$11:$BN$18,MATCH(Summary!AZ$1,'RA3-Backfilled Pits'!$A$9:$BN$9,1),FALSE),0)+IFERROR(VLOOKUP($B22,'RA4-Tracks_Roads'!$A$11:$BN$18,MATCH(Summary!AZ$1,'RA4-Tracks_Roads'!$A$9:$BN$9,1),FALSE),0)+IFERROR(VLOOKUP($B22,'RA5-ROM'!$A$11:$BN$18,MATCH(Summary!AZ$1,'RA5-ROM'!$A$9:$BN$9,1),FALSE),0)+IFERROR(VLOOKUP($B22,'RA6-CHPP'!$A$11:$BN$18,MATCH(Summary!AZ$1,'RA6-CHPP'!$A$9:$BN$9,1),FALSE),0)+IFERROR(VLOOKUP($B22,'RA7-Mine Infrastructure Area'!$A$11:$BN$18,MATCH(Summary!AZ$1,'RA7-Mine Infrastructure Area'!$A$9:$BN$9,1),FALSE),0)+IFERROR(VLOOKUP($B22,'RA8-Water Management Structures'!$A$11:$BN$18,MATCH(Summary!AZ$1,'RA8-Water Management Structures'!$A$9:$BN$9,1),FALSE),0)+IFERROR(VLOOKUP($B22,'RA9-Codisposal Upper'!$A$11:$BN$18,MATCH(Summary!AZ$1,'RA9-Codisposal Upper'!$A$9:$BN$9,1),FALSE),0)+IFERROR(VLOOKUP($B22,'RA10-Codisposal Slopes'!$A$11:$BN$18,MATCH(Summary!AZ$1,'RA10-Codisposal Slopes'!$A$9:$BN$9,1),FALSE),0)+IFERROR(VLOOKUP($B22,'IA1-Final Void inc Ramps'!$A$11:$BN$18,MATCH(Summary!AZ$1,'IA1-Final Void inc Ramps'!$A$9:$BN$9,1),FALSE),0)</f>
        <v>1004.1</v>
      </c>
      <c r="BA22" s="47">
        <f>IFERROR(VLOOKUP($B22,'RA1- Elevated Dumps Upper'!$A$11:$BN$18,MATCH(Summary!BA$1,'RA1- Elevated Dumps Upper'!$A$9:$BN$9,1),FALSE),0)+IFERROR(VLOOKUP($B22,'RA2-Elevated Dumps Slopes'!$A$11:$BN$18,MATCH(Summary!BA$1,'RA2-Elevated Dumps Slopes'!$A$9:$BN$9,1),FALSE),0)+IFERROR(VLOOKUP($B22,'RA3-Backfilled Pits'!$A$11:$BN$18,MATCH(Summary!BA$1,'RA3-Backfilled Pits'!$A$9:$BN$9,1),FALSE),0)+IFERROR(VLOOKUP($B22,'RA4-Tracks_Roads'!$A$11:$BN$18,MATCH(Summary!BA$1,'RA4-Tracks_Roads'!$A$9:$BN$9,1),FALSE),0)+IFERROR(VLOOKUP($B22,'RA5-ROM'!$A$11:$BN$18,MATCH(Summary!BA$1,'RA5-ROM'!$A$9:$BN$9,1),FALSE),0)+IFERROR(VLOOKUP($B22,'RA6-CHPP'!$A$11:$BN$18,MATCH(Summary!BA$1,'RA6-CHPP'!$A$9:$BN$9,1),FALSE),0)+IFERROR(VLOOKUP($B22,'RA7-Mine Infrastructure Area'!$A$11:$BN$18,MATCH(Summary!BA$1,'RA7-Mine Infrastructure Area'!$A$9:$BN$9,1),FALSE),0)+IFERROR(VLOOKUP($B22,'RA8-Water Management Structures'!$A$11:$BN$18,MATCH(Summary!BA$1,'RA8-Water Management Structures'!$A$9:$BN$9,1),FALSE),0)+IFERROR(VLOOKUP($B22,'RA9-Codisposal Upper'!$A$11:$BN$18,MATCH(Summary!BA$1,'RA9-Codisposal Upper'!$A$9:$BN$9,1),FALSE),0)+IFERROR(VLOOKUP($B22,'RA10-Codisposal Slopes'!$A$11:$BN$18,MATCH(Summary!BA$1,'RA10-Codisposal Slopes'!$A$9:$BN$9,1),FALSE),0)+IFERROR(VLOOKUP($B22,'IA1-Final Void inc Ramps'!$A$11:$BN$18,MATCH(Summary!BA$1,'IA1-Final Void inc Ramps'!$A$9:$BN$9,1),FALSE),0)</f>
        <v>1004.1</v>
      </c>
      <c r="BB22" s="47">
        <f>IFERROR(VLOOKUP($B22,'RA1- Elevated Dumps Upper'!$A$11:$BN$18,MATCH(Summary!BB$1,'RA1- Elevated Dumps Upper'!$A$9:$BN$9,1),FALSE),0)+IFERROR(VLOOKUP($B22,'RA2-Elevated Dumps Slopes'!$A$11:$BN$18,MATCH(Summary!BB$1,'RA2-Elevated Dumps Slopes'!$A$9:$BN$9,1),FALSE),0)+IFERROR(VLOOKUP($B22,'RA3-Backfilled Pits'!$A$11:$BN$18,MATCH(Summary!BB$1,'RA3-Backfilled Pits'!$A$9:$BN$9,1),FALSE),0)+IFERROR(VLOOKUP($B22,'RA4-Tracks_Roads'!$A$11:$BN$18,MATCH(Summary!BB$1,'RA4-Tracks_Roads'!$A$9:$BN$9,1),FALSE),0)+IFERROR(VLOOKUP($B22,'RA5-ROM'!$A$11:$BN$18,MATCH(Summary!BB$1,'RA5-ROM'!$A$9:$BN$9,1),FALSE),0)+IFERROR(VLOOKUP($B22,'RA6-CHPP'!$A$11:$BN$18,MATCH(Summary!BB$1,'RA6-CHPP'!$A$9:$BN$9,1),FALSE),0)+IFERROR(VLOOKUP($B22,'RA7-Mine Infrastructure Area'!$A$11:$BN$18,MATCH(Summary!BB$1,'RA7-Mine Infrastructure Area'!$A$9:$BN$9,1),FALSE),0)+IFERROR(VLOOKUP($B22,'RA8-Water Management Structures'!$A$11:$BN$18,MATCH(Summary!BB$1,'RA8-Water Management Structures'!$A$9:$BN$9,1),FALSE),0)+IFERROR(VLOOKUP($B22,'RA9-Codisposal Upper'!$A$11:$BN$18,MATCH(Summary!BB$1,'RA9-Codisposal Upper'!$A$9:$BN$9,1),FALSE),0)+IFERROR(VLOOKUP($B22,'RA10-Codisposal Slopes'!$A$11:$BN$18,MATCH(Summary!BB$1,'RA10-Codisposal Slopes'!$A$9:$BN$9,1),FALSE),0)+IFERROR(VLOOKUP($B22,'IA1-Final Void inc Ramps'!$A$11:$BN$18,MATCH(Summary!BB$1,'IA1-Final Void inc Ramps'!$A$9:$BN$9,1),FALSE),0)</f>
        <v>1331.3999999999999</v>
      </c>
      <c r="BC22" s="47">
        <f>IFERROR(VLOOKUP($B22,'RA1- Elevated Dumps Upper'!$A$11:$BN$18,MATCH(Summary!BC$1,'RA1- Elevated Dumps Upper'!$A$9:$BN$9,1),FALSE),0)+IFERROR(VLOOKUP($B22,'RA2-Elevated Dumps Slopes'!$A$11:$BN$18,MATCH(Summary!BC$1,'RA2-Elevated Dumps Slopes'!$A$9:$BN$9,1),FALSE),0)+IFERROR(VLOOKUP($B22,'RA3-Backfilled Pits'!$A$11:$BN$18,MATCH(Summary!BC$1,'RA3-Backfilled Pits'!$A$9:$BN$9,1),FALSE),0)+IFERROR(VLOOKUP($B22,'RA4-Tracks_Roads'!$A$11:$BN$18,MATCH(Summary!BC$1,'RA4-Tracks_Roads'!$A$9:$BN$9,1),FALSE),0)+IFERROR(VLOOKUP($B22,'RA5-ROM'!$A$11:$BN$18,MATCH(Summary!BC$1,'RA5-ROM'!$A$9:$BN$9,1),FALSE),0)+IFERROR(VLOOKUP($B22,'RA6-CHPP'!$A$11:$BN$18,MATCH(Summary!BC$1,'RA6-CHPP'!$A$9:$BN$9,1),FALSE),0)+IFERROR(VLOOKUP($B22,'RA7-Mine Infrastructure Area'!$A$11:$BN$18,MATCH(Summary!BC$1,'RA7-Mine Infrastructure Area'!$A$9:$BN$9,1),FALSE),0)+IFERROR(VLOOKUP($B22,'RA8-Water Management Structures'!$A$11:$BN$18,MATCH(Summary!BC$1,'RA8-Water Management Structures'!$A$9:$BN$9,1),FALSE),0)+IFERROR(VLOOKUP($B22,'RA9-Codisposal Upper'!$A$11:$BN$18,MATCH(Summary!BC$1,'RA9-Codisposal Upper'!$A$9:$BN$9,1),FALSE),0)+IFERROR(VLOOKUP($B22,'RA10-Codisposal Slopes'!$A$11:$BN$18,MATCH(Summary!BC$1,'RA10-Codisposal Slopes'!$A$9:$BN$9,1),FALSE),0)+IFERROR(VLOOKUP($B22,'IA1-Final Void inc Ramps'!$A$11:$BN$18,MATCH(Summary!BC$1,'IA1-Final Void inc Ramps'!$A$9:$BN$9,1),FALSE),0)</f>
        <v>1331.3999999999999</v>
      </c>
      <c r="BD22" s="47">
        <f>IFERROR(VLOOKUP($B22,'RA1- Elevated Dumps Upper'!$A$11:$BN$18,MATCH(Summary!BD$1,'RA1- Elevated Dumps Upper'!$A$9:$BN$9,1),FALSE),0)+IFERROR(VLOOKUP($B22,'RA2-Elevated Dumps Slopes'!$A$11:$BN$18,MATCH(Summary!BD$1,'RA2-Elevated Dumps Slopes'!$A$9:$BN$9,1),FALSE),0)+IFERROR(VLOOKUP($B22,'RA3-Backfilled Pits'!$A$11:$BN$18,MATCH(Summary!BD$1,'RA3-Backfilled Pits'!$A$9:$BN$9,1),FALSE),0)+IFERROR(VLOOKUP($B22,'RA4-Tracks_Roads'!$A$11:$BN$18,MATCH(Summary!BD$1,'RA4-Tracks_Roads'!$A$9:$BN$9,1),FALSE),0)+IFERROR(VLOOKUP($B22,'RA5-ROM'!$A$11:$BN$18,MATCH(Summary!BD$1,'RA5-ROM'!$A$9:$BN$9,1),FALSE),0)+IFERROR(VLOOKUP($B22,'RA6-CHPP'!$A$11:$BN$18,MATCH(Summary!BD$1,'RA6-CHPP'!$A$9:$BN$9,1),FALSE),0)+IFERROR(VLOOKUP($B22,'RA7-Mine Infrastructure Area'!$A$11:$BN$18,MATCH(Summary!BD$1,'RA7-Mine Infrastructure Area'!$A$9:$BN$9,1),FALSE),0)+IFERROR(VLOOKUP($B22,'RA8-Water Management Structures'!$A$11:$BN$18,MATCH(Summary!BD$1,'RA8-Water Management Structures'!$A$9:$BN$9,1),FALSE),0)+IFERROR(VLOOKUP($B22,'RA9-Codisposal Upper'!$A$11:$BN$18,MATCH(Summary!BD$1,'RA9-Codisposal Upper'!$A$9:$BN$9,1),FALSE),0)+IFERROR(VLOOKUP($B22,'RA10-Codisposal Slopes'!$A$11:$BN$18,MATCH(Summary!BD$1,'RA10-Codisposal Slopes'!$A$9:$BN$9,1),FALSE),0)+IFERROR(VLOOKUP($B22,'IA1-Final Void inc Ramps'!$A$11:$BN$18,MATCH(Summary!BD$1,'IA1-Final Void inc Ramps'!$A$9:$BN$9,1),FALSE),0)</f>
        <v>1331.3999999999999</v>
      </c>
      <c r="BE22" s="47">
        <f>IFERROR(VLOOKUP($B22,'RA1- Elevated Dumps Upper'!$A$11:$BN$18,MATCH(Summary!BE$1,'RA1- Elevated Dumps Upper'!$A$9:$BN$9,1),FALSE),0)+IFERROR(VLOOKUP($B22,'RA2-Elevated Dumps Slopes'!$A$11:$BN$18,MATCH(Summary!BE$1,'RA2-Elevated Dumps Slopes'!$A$9:$BN$9,1),FALSE),0)+IFERROR(VLOOKUP($B22,'RA3-Backfilled Pits'!$A$11:$BN$18,MATCH(Summary!BE$1,'RA3-Backfilled Pits'!$A$9:$BN$9,1),FALSE),0)+IFERROR(VLOOKUP($B22,'RA4-Tracks_Roads'!$A$11:$BN$18,MATCH(Summary!BE$1,'RA4-Tracks_Roads'!$A$9:$BN$9,1),FALSE),0)+IFERROR(VLOOKUP($B22,'RA5-ROM'!$A$11:$BN$18,MATCH(Summary!BE$1,'RA5-ROM'!$A$9:$BN$9,1),FALSE),0)+IFERROR(VLOOKUP($B22,'RA6-CHPP'!$A$11:$BN$18,MATCH(Summary!BE$1,'RA6-CHPP'!$A$9:$BN$9,1),FALSE),0)+IFERROR(VLOOKUP($B22,'RA7-Mine Infrastructure Area'!$A$11:$BN$18,MATCH(Summary!BE$1,'RA7-Mine Infrastructure Area'!$A$9:$BN$9,1),FALSE),0)+IFERROR(VLOOKUP($B22,'RA8-Water Management Structures'!$A$11:$BN$18,MATCH(Summary!BE$1,'RA8-Water Management Structures'!$A$9:$BN$9,1),FALSE),0)+IFERROR(VLOOKUP($B22,'RA9-Codisposal Upper'!$A$11:$BN$18,MATCH(Summary!BE$1,'RA9-Codisposal Upper'!$A$9:$BN$9,1),FALSE),0)+IFERROR(VLOOKUP($B22,'RA10-Codisposal Slopes'!$A$11:$BN$18,MATCH(Summary!BE$1,'RA10-Codisposal Slopes'!$A$9:$BN$9,1),FALSE),0)+IFERROR(VLOOKUP($B22,'IA1-Final Void inc Ramps'!$A$11:$BN$18,MATCH(Summary!BE$1,'IA1-Final Void inc Ramps'!$A$9:$BN$9,1),FALSE),0)</f>
        <v>1331.3999999999999</v>
      </c>
      <c r="BF22" s="47">
        <f>IFERROR(VLOOKUP($B22,'RA1- Elevated Dumps Upper'!$A$11:$BN$18,MATCH(Summary!BF$1,'RA1- Elevated Dumps Upper'!$A$9:$BN$9,1),FALSE),0)+IFERROR(VLOOKUP($B22,'RA2-Elevated Dumps Slopes'!$A$11:$BN$18,MATCH(Summary!BF$1,'RA2-Elevated Dumps Slopes'!$A$9:$BN$9,1),FALSE),0)+IFERROR(VLOOKUP($B22,'RA3-Backfilled Pits'!$A$11:$BN$18,MATCH(Summary!BF$1,'RA3-Backfilled Pits'!$A$9:$BN$9,1),FALSE),0)+IFERROR(VLOOKUP($B22,'RA4-Tracks_Roads'!$A$11:$BN$18,MATCH(Summary!BF$1,'RA4-Tracks_Roads'!$A$9:$BN$9,1),FALSE),0)+IFERROR(VLOOKUP($B22,'RA5-ROM'!$A$11:$BN$18,MATCH(Summary!BF$1,'RA5-ROM'!$A$9:$BN$9,1),FALSE),0)+IFERROR(VLOOKUP($B22,'RA6-CHPP'!$A$11:$BN$18,MATCH(Summary!BF$1,'RA6-CHPP'!$A$9:$BN$9,1),FALSE),0)+IFERROR(VLOOKUP($B22,'RA7-Mine Infrastructure Area'!$A$11:$BN$18,MATCH(Summary!BF$1,'RA7-Mine Infrastructure Area'!$A$9:$BN$9,1),FALSE),0)+IFERROR(VLOOKUP($B22,'RA8-Water Management Structures'!$A$11:$BN$18,MATCH(Summary!BF$1,'RA8-Water Management Structures'!$A$9:$BN$9,1),FALSE),0)+IFERROR(VLOOKUP($B22,'RA9-Codisposal Upper'!$A$11:$BN$18,MATCH(Summary!BF$1,'RA9-Codisposal Upper'!$A$9:$BN$9,1),FALSE),0)+IFERROR(VLOOKUP($B22,'RA10-Codisposal Slopes'!$A$11:$BN$18,MATCH(Summary!BF$1,'RA10-Codisposal Slopes'!$A$9:$BN$9,1),FALSE),0)+IFERROR(VLOOKUP($B22,'IA1-Final Void inc Ramps'!$A$11:$BN$18,MATCH(Summary!BF$1,'IA1-Final Void inc Ramps'!$A$9:$BN$9,1),FALSE),0)</f>
        <v>1331.3999999999999</v>
      </c>
      <c r="BG22" s="47">
        <f>IFERROR(VLOOKUP($B22,'RA1- Elevated Dumps Upper'!$A$11:$BN$18,MATCH(Summary!BG$1,'RA1- Elevated Dumps Upper'!$A$9:$BN$9,1),FALSE),0)+IFERROR(VLOOKUP($B22,'RA2-Elevated Dumps Slopes'!$A$11:$BN$18,MATCH(Summary!BG$1,'RA2-Elevated Dumps Slopes'!$A$9:$BN$9,1),FALSE),0)+IFERROR(VLOOKUP($B22,'RA3-Backfilled Pits'!$A$11:$BN$18,MATCH(Summary!BG$1,'RA3-Backfilled Pits'!$A$9:$BN$9,1),FALSE),0)+IFERROR(VLOOKUP($B22,'RA4-Tracks_Roads'!$A$11:$BN$18,MATCH(Summary!BG$1,'RA4-Tracks_Roads'!$A$9:$BN$9,1),FALSE),0)+IFERROR(VLOOKUP($B22,'RA5-ROM'!$A$11:$BN$18,MATCH(Summary!BG$1,'RA5-ROM'!$A$9:$BN$9,1),FALSE),0)+IFERROR(VLOOKUP($B22,'RA6-CHPP'!$A$11:$BN$18,MATCH(Summary!BG$1,'RA6-CHPP'!$A$9:$BN$9,1),FALSE),0)+IFERROR(VLOOKUP($B22,'RA7-Mine Infrastructure Area'!$A$11:$BN$18,MATCH(Summary!BG$1,'RA7-Mine Infrastructure Area'!$A$9:$BN$9,1),FALSE),0)+IFERROR(VLOOKUP($B22,'RA8-Water Management Structures'!$A$11:$BN$18,MATCH(Summary!BG$1,'RA8-Water Management Structures'!$A$9:$BN$9,1),FALSE),0)+IFERROR(VLOOKUP($B22,'RA9-Codisposal Upper'!$A$11:$BN$18,MATCH(Summary!BG$1,'RA9-Codisposal Upper'!$A$9:$BN$9,1),FALSE),0)+IFERROR(VLOOKUP($B22,'RA10-Codisposal Slopes'!$A$11:$BN$18,MATCH(Summary!BG$1,'RA10-Codisposal Slopes'!$A$9:$BN$9,1),FALSE),0)+IFERROR(VLOOKUP($B22,'IA1-Final Void inc Ramps'!$A$11:$BN$18,MATCH(Summary!BG$1,'IA1-Final Void inc Ramps'!$A$9:$BN$9,1),FALSE),0)</f>
        <v>1331.3999999999999</v>
      </c>
      <c r="BH22" s="47">
        <f>IFERROR(VLOOKUP($B22,'RA1- Elevated Dumps Upper'!$A$11:$BN$18,MATCH(Summary!BH$1,'RA1- Elevated Dumps Upper'!$A$9:$BN$9,1),FALSE),0)+IFERROR(VLOOKUP($B22,'RA2-Elevated Dumps Slopes'!$A$11:$BN$18,MATCH(Summary!BH$1,'RA2-Elevated Dumps Slopes'!$A$9:$BN$9,1),FALSE),0)+IFERROR(VLOOKUP($B22,'RA3-Backfilled Pits'!$A$11:$BN$18,MATCH(Summary!BH$1,'RA3-Backfilled Pits'!$A$9:$BN$9,1),FALSE),0)+IFERROR(VLOOKUP($B22,'RA4-Tracks_Roads'!$A$11:$BN$18,MATCH(Summary!BH$1,'RA4-Tracks_Roads'!$A$9:$BN$9,1),FALSE),0)+IFERROR(VLOOKUP($B22,'RA5-ROM'!$A$11:$BN$18,MATCH(Summary!BH$1,'RA5-ROM'!$A$9:$BN$9,1),FALSE),0)+IFERROR(VLOOKUP($B22,'RA6-CHPP'!$A$11:$BN$18,MATCH(Summary!BH$1,'RA6-CHPP'!$A$9:$BN$9,1),FALSE),0)+IFERROR(VLOOKUP($B22,'RA7-Mine Infrastructure Area'!$A$11:$BN$18,MATCH(Summary!BH$1,'RA7-Mine Infrastructure Area'!$A$9:$BN$9,1),FALSE),0)+IFERROR(VLOOKUP($B22,'RA8-Water Management Structures'!$A$11:$BN$18,MATCH(Summary!BH$1,'RA8-Water Management Structures'!$A$9:$BN$9,1),FALSE),0)+IFERROR(VLOOKUP($B22,'RA9-Codisposal Upper'!$A$11:$BN$18,MATCH(Summary!BH$1,'RA9-Codisposal Upper'!$A$9:$BN$9,1),FALSE),0)+IFERROR(VLOOKUP($B22,'RA10-Codisposal Slopes'!$A$11:$BN$18,MATCH(Summary!BH$1,'RA10-Codisposal Slopes'!$A$9:$BN$9,1),FALSE),0)+IFERROR(VLOOKUP($B22,'IA1-Final Void inc Ramps'!$A$11:$BN$18,MATCH(Summary!BH$1,'IA1-Final Void inc Ramps'!$A$9:$BN$9,1),FALSE),0)</f>
        <v>1331.3999999999999</v>
      </c>
      <c r="BI22" s="47">
        <f>IFERROR(VLOOKUP($B22,'RA1- Elevated Dumps Upper'!$A$11:$BN$18,MATCH(Summary!BI$1,'RA1- Elevated Dumps Upper'!$A$9:$BN$9,1),FALSE),0)+IFERROR(VLOOKUP($B22,'RA2-Elevated Dumps Slopes'!$A$11:$BN$18,MATCH(Summary!BI$1,'RA2-Elevated Dumps Slopes'!$A$9:$BN$9,1),FALSE),0)+IFERROR(VLOOKUP($B22,'RA3-Backfilled Pits'!$A$11:$BN$18,MATCH(Summary!BI$1,'RA3-Backfilled Pits'!$A$9:$BN$9,1),FALSE),0)+IFERROR(VLOOKUP($B22,'RA4-Tracks_Roads'!$A$11:$BN$18,MATCH(Summary!BI$1,'RA4-Tracks_Roads'!$A$9:$BN$9,1),FALSE),0)+IFERROR(VLOOKUP($B22,'RA5-ROM'!$A$11:$BN$18,MATCH(Summary!BI$1,'RA5-ROM'!$A$9:$BN$9,1),FALSE),0)+IFERROR(VLOOKUP($B22,'RA6-CHPP'!$A$11:$BN$18,MATCH(Summary!BI$1,'RA6-CHPP'!$A$9:$BN$9,1),FALSE),0)+IFERROR(VLOOKUP($B22,'RA7-Mine Infrastructure Area'!$A$11:$BN$18,MATCH(Summary!BI$1,'RA7-Mine Infrastructure Area'!$A$9:$BN$9,1),FALSE),0)+IFERROR(VLOOKUP($B22,'RA8-Water Management Structures'!$A$11:$BN$18,MATCH(Summary!BI$1,'RA8-Water Management Structures'!$A$9:$BN$9,1),FALSE),0)+IFERROR(VLOOKUP($B22,'RA9-Codisposal Upper'!$A$11:$BN$18,MATCH(Summary!BI$1,'RA9-Codisposal Upper'!$A$9:$BN$9,1),FALSE),0)+IFERROR(VLOOKUP($B22,'RA10-Codisposal Slopes'!$A$11:$BN$18,MATCH(Summary!BI$1,'RA10-Codisposal Slopes'!$A$9:$BN$9,1),FALSE),0)+IFERROR(VLOOKUP($B22,'IA1-Final Void inc Ramps'!$A$11:$BN$18,MATCH(Summary!BI$1,'IA1-Final Void inc Ramps'!$A$9:$BN$9,1),FALSE),0)</f>
        <v>1331.3999999999999</v>
      </c>
      <c r="BJ22" s="47">
        <f>IFERROR(VLOOKUP($B22,'RA1- Elevated Dumps Upper'!$A$11:$BN$18,MATCH(Summary!BJ$1,'RA1- Elevated Dumps Upper'!$A$9:$BN$9,1),FALSE),0)+IFERROR(VLOOKUP($B22,'RA2-Elevated Dumps Slopes'!$A$11:$BN$18,MATCH(Summary!BJ$1,'RA2-Elevated Dumps Slopes'!$A$9:$BN$9,1),FALSE),0)+IFERROR(VLOOKUP($B22,'RA3-Backfilled Pits'!$A$11:$BN$18,MATCH(Summary!BJ$1,'RA3-Backfilled Pits'!$A$9:$BN$9,1),FALSE),0)+IFERROR(VLOOKUP($B22,'RA4-Tracks_Roads'!$A$11:$BN$18,MATCH(Summary!BJ$1,'RA4-Tracks_Roads'!$A$9:$BN$9,1),FALSE),0)+IFERROR(VLOOKUP($B22,'RA5-ROM'!$A$11:$BN$18,MATCH(Summary!BJ$1,'RA5-ROM'!$A$9:$BN$9,1),FALSE),0)+IFERROR(VLOOKUP($B22,'RA6-CHPP'!$A$11:$BN$18,MATCH(Summary!BJ$1,'RA6-CHPP'!$A$9:$BN$9,1),FALSE),0)+IFERROR(VLOOKUP($B22,'RA7-Mine Infrastructure Area'!$A$11:$BN$18,MATCH(Summary!BJ$1,'RA7-Mine Infrastructure Area'!$A$9:$BN$9,1),FALSE),0)+IFERROR(VLOOKUP($B22,'RA8-Water Management Structures'!$A$11:$BN$18,MATCH(Summary!BJ$1,'RA8-Water Management Structures'!$A$9:$BN$9,1),FALSE),0)+IFERROR(VLOOKUP($B22,'RA9-Codisposal Upper'!$A$11:$BN$18,MATCH(Summary!BJ$1,'RA9-Codisposal Upper'!$A$9:$BN$9,1),FALSE),0)+IFERROR(VLOOKUP($B22,'RA10-Codisposal Slopes'!$A$11:$BN$18,MATCH(Summary!BJ$1,'RA10-Codisposal Slopes'!$A$9:$BN$9,1),FALSE),0)+IFERROR(VLOOKUP($B22,'IA1-Final Void inc Ramps'!$A$11:$BN$18,MATCH(Summary!BJ$1,'IA1-Final Void inc Ramps'!$A$9:$BN$9,1),FALSE),0)</f>
        <v>1331.3999999999999</v>
      </c>
      <c r="BK22" s="47">
        <f>IFERROR(VLOOKUP($B22,'RA1- Elevated Dumps Upper'!$A$11:$BN$18,MATCH(Summary!BK$1,'RA1- Elevated Dumps Upper'!$A$9:$BN$9,1),FALSE),0)+IFERROR(VLOOKUP($B22,'RA2-Elevated Dumps Slopes'!$A$11:$BN$18,MATCH(Summary!BK$1,'RA2-Elevated Dumps Slopes'!$A$9:$BN$9,1),FALSE),0)+IFERROR(VLOOKUP($B22,'RA3-Backfilled Pits'!$A$11:$BN$18,MATCH(Summary!BK$1,'RA3-Backfilled Pits'!$A$9:$BN$9,1),FALSE),0)+IFERROR(VLOOKUP($B22,'RA4-Tracks_Roads'!$A$11:$BN$18,MATCH(Summary!BK$1,'RA4-Tracks_Roads'!$A$9:$BN$9,1),FALSE),0)+IFERROR(VLOOKUP($B22,'RA5-ROM'!$A$11:$BN$18,MATCH(Summary!BK$1,'RA5-ROM'!$A$9:$BN$9,1),FALSE),0)+IFERROR(VLOOKUP($B22,'RA6-CHPP'!$A$11:$BN$18,MATCH(Summary!BK$1,'RA6-CHPP'!$A$9:$BN$9,1),FALSE),0)+IFERROR(VLOOKUP($B22,'RA7-Mine Infrastructure Area'!$A$11:$BN$18,MATCH(Summary!BK$1,'RA7-Mine Infrastructure Area'!$A$9:$BN$9,1),FALSE),0)+IFERROR(VLOOKUP($B22,'RA8-Water Management Structures'!$A$11:$BN$18,MATCH(Summary!BK$1,'RA8-Water Management Structures'!$A$9:$BN$9,1),FALSE),0)+IFERROR(VLOOKUP($B22,'RA9-Codisposal Upper'!$A$11:$BN$18,MATCH(Summary!BK$1,'RA9-Codisposal Upper'!$A$9:$BN$9,1),FALSE),0)+IFERROR(VLOOKUP($B22,'RA10-Codisposal Slopes'!$A$11:$BN$18,MATCH(Summary!BK$1,'RA10-Codisposal Slopes'!$A$9:$BN$9,1),FALSE),0)+IFERROR(VLOOKUP($B22,'IA1-Final Void inc Ramps'!$A$11:$BN$18,MATCH(Summary!BK$1,'IA1-Final Void inc Ramps'!$A$9:$BN$9,1),FALSE),0)</f>
        <v>1331.3999999999999</v>
      </c>
      <c r="BL22" s="47">
        <f>IFERROR(VLOOKUP($B22,'RA1- Elevated Dumps Upper'!$A$11:$BN$18,MATCH(Summary!BL$1,'RA1- Elevated Dumps Upper'!$A$9:$BN$9,1),FALSE),0)+IFERROR(VLOOKUP($B22,'RA2-Elevated Dumps Slopes'!$A$11:$BN$18,MATCH(Summary!BL$1,'RA2-Elevated Dumps Slopes'!$A$9:$BN$9,1),FALSE),0)+IFERROR(VLOOKUP($B22,'RA3-Backfilled Pits'!$A$11:$BN$18,MATCH(Summary!BL$1,'RA3-Backfilled Pits'!$A$9:$BN$9,1),FALSE),0)+IFERROR(VLOOKUP($B22,'RA4-Tracks_Roads'!$A$11:$BN$18,MATCH(Summary!BL$1,'RA4-Tracks_Roads'!$A$9:$BN$9,1),FALSE),0)+IFERROR(VLOOKUP($B22,'RA5-ROM'!$A$11:$BN$18,MATCH(Summary!BL$1,'RA5-ROM'!$A$9:$BN$9,1),FALSE),0)+IFERROR(VLOOKUP($B22,'RA6-CHPP'!$A$11:$BN$18,MATCH(Summary!BL$1,'RA6-CHPP'!$A$9:$BN$9,1),FALSE),0)+IFERROR(VLOOKUP($B22,'RA7-Mine Infrastructure Area'!$A$11:$BN$18,MATCH(Summary!BL$1,'RA7-Mine Infrastructure Area'!$A$9:$BN$9,1),FALSE),0)+IFERROR(VLOOKUP($B22,'RA8-Water Management Structures'!$A$11:$BN$18,MATCH(Summary!BL$1,'RA8-Water Management Structures'!$A$9:$BN$9,1),FALSE),0)+IFERROR(VLOOKUP($B22,'RA9-Codisposal Upper'!$A$11:$BN$18,MATCH(Summary!BL$1,'RA9-Codisposal Upper'!$A$9:$BN$9,1),FALSE),0)+IFERROR(VLOOKUP($B22,'RA10-Codisposal Slopes'!$A$11:$BN$18,MATCH(Summary!BL$1,'RA10-Codisposal Slopes'!$A$9:$BN$9,1),FALSE),0)+IFERROR(VLOOKUP($B22,'IA1-Final Void inc Ramps'!$A$11:$BN$18,MATCH(Summary!BL$1,'IA1-Final Void inc Ramps'!$A$9:$BN$9,1),FALSE),0)</f>
        <v>1331.3999999999999</v>
      </c>
      <c r="BM22" s="47">
        <f>IFERROR(VLOOKUP($B22,'RA1- Elevated Dumps Upper'!$A$11:$BN$18,MATCH(Summary!BM$1,'RA1- Elevated Dumps Upper'!$A$9:$BN$9,1),FALSE),0)+IFERROR(VLOOKUP($B22,'RA2-Elevated Dumps Slopes'!$A$11:$BN$18,MATCH(Summary!BM$1,'RA2-Elevated Dumps Slopes'!$A$9:$BN$9,1),FALSE),0)+IFERROR(VLOOKUP($B22,'RA3-Backfilled Pits'!$A$11:$BN$18,MATCH(Summary!BM$1,'RA3-Backfilled Pits'!$A$9:$BN$9,1),FALSE),0)+IFERROR(VLOOKUP($B22,'RA4-Tracks_Roads'!$A$11:$BN$18,MATCH(Summary!BM$1,'RA4-Tracks_Roads'!$A$9:$BN$9,1),FALSE),0)+IFERROR(VLOOKUP($B22,'RA5-ROM'!$A$11:$BN$18,MATCH(Summary!BM$1,'RA5-ROM'!$A$9:$BN$9,1),FALSE),0)+IFERROR(VLOOKUP($B22,'RA6-CHPP'!$A$11:$BN$18,MATCH(Summary!BM$1,'RA6-CHPP'!$A$9:$BN$9,1),FALSE),0)+IFERROR(VLOOKUP($B22,'RA7-Mine Infrastructure Area'!$A$11:$BN$18,MATCH(Summary!BM$1,'RA7-Mine Infrastructure Area'!$A$9:$BN$9,1),FALSE),0)+IFERROR(VLOOKUP($B22,'RA8-Water Management Structures'!$A$11:$BN$18,MATCH(Summary!BM$1,'RA8-Water Management Structures'!$A$9:$BN$9,1),FALSE),0)+IFERROR(VLOOKUP($B22,'RA9-Codisposal Upper'!$A$11:$BN$18,MATCH(Summary!BM$1,'RA9-Codisposal Upper'!$A$9:$BN$9,1),FALSE),0)+IFERROR(VLOOKUP($B22,'RA10-Codisposal Slopes'!$A$11:$BN$18,MATCH(Summary!BM$1,'RA10-Codisposal Slopes'!$A$9:$BN$9,1),FALSE),0)+IFERROR(VLOOKUP($B22,'IA1-Final Void inc Ramps'!$A$11:$BN$18,MATCH(Summary!BM$1,'IA1-Final Void inc Ramps'!$A$9:$BN$9,1),FALSE),0)</f>
        <v>1331.3999999999999</v>
      </c>
      <c r="BN22" s="47">
        <f>IFERROR(VLOOKUP($B22,'RA1- Elevated Dumps Upper'!$A$11:$BN$18,MATCH(Summary!BN$1,'RA1- Elevated Dumps Upper'!$A$9:$BN$9,1),FALSE),0)+IFERROR(VLOOKUP($B22,'RA2-Elevated Dumps Slopes'!$A$11:$BN$18,MATCH(Summary!BN$1,'RA2-Elevated Dumps Slopes'!$A$9:$BN$9,1),FALSE),0)+IFERROR(VLOOKUP($B22,'RA3-Backfilled Pits'!$A$11:$BN$18,MATCH(Summary!BN$1,'RA3-Backfilled Pits'!$A$9:$BN$9,1),FALSE),0)+IFERROR(VLOOKUP($B22,'RA4-Tracks_Roads'!$A$11:$BN$18,MATCH(Summary!BN$1,'RA4-Tracks_Roads'!$A$9:$BN$9,1),FALSE),0)+IFERROR(VLOOKUP($B22,'RA5-ROM'!$A$11:$BN$18,MATCH(Summary!BN$1,'RA5-ROM'!$A$9:$BN$9,1),FALSE),0)+IFERROR(VLOOKUP($B22,'RA6-CHPP'!$A$11:$BN$18,MATCH(Summary!BN$1,'RA6-CHPP'!$A$9:$BN$9,1),FALSE),0)+IFERROR(VLOOKUP($B22,'RA7-Mine Infrastructure Area'!$A$11:$BN$18,MATCH(Summary!BN$1,'RA7-Mine Infrastructure Area'!$A$9:$BN$9,1),FALSE),0)+IFERROR(VLOOKUP($B22,'RA8-Water Management Structures'!$A$11:$BN$18,MATCH(Summary!BN$1,'RA8-Water Management Structures'!$A$9:$BN$9,1),FALSE),0)+IFERROR(VLOOKUP($B22,'RA9-Codisposal Upper'!$A$11:$BN$18,MATCH(Summary!BN$1,'RA9-Codisposal Upper'!$A$9:$BN$9,1),FALSE),0)+IFERROR(VLOOKUP($B22,'RA10-Codisposal Slopes'!$A$11:$BN$18,MATCH(Summary!BN$1,'RA10-Codisposal Slopes'!$A$9:$BN$9,1),FALSE),0)+IFERROR(VLOOKUP($B22,'IA1-Final Void inc Ramps'!$A$11:$BN$18,MATCH(Summary!BN$1,'IA1-Final Void inc Ramps'!$A$9:$BN$9,1),FALSE),0)</f>
        <v>1331.3999999999999</v>
      </c>
    </row>
    <row r="23" spans="1:66" x14ac:dyDescent="0.35">
      <c r="B23" t="s">
        <v>56</v>
      </c>
      <c r="D23" s="47">
        <f>IFERROR(VLOOKUP($B23,'RA1- Elevated Dumps Upper'!$A$11:$BN$18,MATCH(Summary!D$1,'RA1- Elevated Dumps Upper'!$A$9:$BN$9,1),FALSE),0)+IFERROR(VLOOKUP($B23,'RA2-Elevated Dumps Slopes'!$A$11:$BN$18,MATCH(Summary!D$1,'RA2-Elevated Dumps Slopes'!$A$9:$BN$9,1),FALSE),0)+IFERROR(VLOOKUP($B23,'RA3-Backfilled Pits'!$A$11:$BN$18,MATCH(Summary!D$1,'RA3-Backfilled Pits'!$A$9:$BN$9,1),FALSE),0)+IFERROR(VLOOKUP($B23,'RA4-Tracks_Roads'!$A$11:$BN$18,MATCH(Summary!D$1,'RA4-Tracks_Roads'!$A$9:$BN$9,1),FALSE),0)+IFERROR(VLOOKUP($B23,'RA5-ROM'!$A$11:$BN$18,MATCH(Summary!D$1,'RA5-ROM'!$A$9:$BN$9,1),FALSE),0)+IFERROR(VLOOKUP($B23,'RA6-CHPP'!$A$11:$BN$18,MATCH(Summary!D$1,'RA6-CHPP'!$A$9:$BN$9,1),FALSE),0)+IFERROR(VLOOKUP($B23,'RA7-Mine Infrastructure Area'!$A$11:$BN$18,MATCH(Summary!D$1,'RA7-Mine Infrastructure Area'!$A$9:$BN$9,1),FALSE),0)+IFERROR(VLOOKUP($B23,'RA8-Water Management Structures'!$A$11:$BN$18,MATCH(Summary!D$1,'RA8-Water Management Structures'!$A$9:$BN$9,1),FALSE),0)+IFERROR(VLOOKUP($B23,'RA9-Codisposal Upper'!$A$11:$BN$18,MATCH(Summary!D$1,'RA9-Codisposal Upper'!$A$9:$BN$9,1),FALSE),0)+IFERROR(VLOOKUP($B23,'RA10-Codisposal Slopes'!$A$11:$BN$18,MATCH(Summary!D$1,'RA10-Codisposal Slopes'!$A$9:$BN$9,1),FALSE),0)+IFERROR(VLOOKUP($B23,'IA1-Final Void inc Ramps'!$A$11:$BN$18,MATCH(Summary!D$1,'IA1-Final Void inc Ramps'!$A$9:$BN$9,1),FALSE),0)</f>
        <v>0</v>
      </c>
      <c r="E23" s="47">
        <f>IFERROR(VLOOKUP($B23,'RA1- Elevated Dumps Upper'!$A$11:$BN$18,MATCH(Summary!E$1,'RA1- Elevated Dumps Upper'!$A$9:$BN$9,1),FALSE),0)+IFERROR(VLOOKUP($B23,'RA2-Elevated Dumps Slopes'!$A$11:$BN$18,MATCH(Summary!E$1,'RA2-Elevated Dumps Slopes'!$A$9:$BN$9,1),FALSE),0)+IFERROR(VLOOKUP($B23,'RA3-Backfilled Pits'!$A$11:$BN$18,MATCH(Summary!E$1,'RA3-Backfilled Pits'!$A$9:$BN$9,1),FALSE),0)+IFERROR(VLOOKUP($B23,'RA4-Tracks_Roads'!$A$11:$BN$18,MATCH(Summary!E$1,'RA4-Tracks_Roads'!$A$9:$BN$9,1),FALSE),0)+IFERROR(VLOOKUP($B23,'RA5-ROM'!$A$11:$BN$18,MATCH(Summary!E$1,'RA5-ROM'!$A$9:$BN$9,1),FALSE),0)+IFERROR(VLOOKUP($B23,'RA6-CHPP'!$A$11:$BN$18,MATCH(Summary!E$1,'RA6-CHPP'!$A$9:$BN$9,1),FALSE),0)+IFERROR(VLOOKUP($B23,'RA7-Mine Infrastructure Area'!$A$11:$BN$18,MATCH(Summary!E$1,'RA7-Mine Infrastructure Area'!$A$9:$BN$9,1),FALSE),0)+IFERROR(VLOOKUP($B23,'RA8-Water Management Structures'!$A$11:$BN$18,MATCH(Summary!E$1,'RA8-Water Management Structures'!$A$9:$BN$9,1),FALSE),0)+IFERROR(VLOOKUP($B23,'RA9-Codisposal Upper'!$A$11:$BN$18,MATCH(Summary!E$1,'RA9-Codisposal Upper'!$A$9:$BN$9,1),FALSE),0)+IFERROR(VLOOKUP($B23,'RA10-Codisposal Slopes'!$A$11:$BN$18,MATCH(Summary!E$1,'RA10-Codisposal Slopes'!$A$9:$BN$9,1),FALSE),0)+IFERROR(VLOOKUP($B23,'IA1-Final Void inc Ramps'!$A$11:$BN$18,MATCH(Summary!E$1,'IA1-Final Void inc Ramps'!$A$9:$BN$9,1),FALSE),0)</f>
        <v>0</v>
      </c>
      <c r="F23" s="47">
        <f>IFERROR(VLOOKUP($B23,'RA1- Elevated Dumps Upper'!$A$11:$BN$18,MATCH(Summary!F$1,'RA1- Elevated Dumps Upper'!$A$9:$BN$9,1),FALSE),0)+IFERROR(VLOOKUP($B23,'RA2-Elevated Dumps Slopes'!$A$11:$BN$18,MATCH(Summary!F$1,'RA2-Elevated Dumps Slopes'!$A$9:$BN$9,1),FALSE),0)+IFERROR(VLOOKUP($B23,'RA3-Backfilled Pits'!$A$11:$BN$18,MATCH(Summary!F$1,'RA3-Backfilled Pits'!$A$9:$BN$9,1),FALSE),0)+IFERROR(VLOOKUP($B23,'RA4-Tracks_Roads'!$A$11:$BN$18,MATCH(Summary!F$1,'RA4-Tracks_Roads'!$A$9:$BN$9,1),FALSE),0)+IFERROR(VLOOKUP($B23,'RA5-ROM'!$A$11:$BN$18,MATCH(Summary!F$1,'RA5-ROM'!$A$9:$BN$9,1),FALSE),0)+IFERROR(VLOOKUP($B23,'RA6-CHPP'!$A$11:$BN$18,MATCH(Summary!F$1,'RA6-CHPP'!$A$9:$BN$9,1),FALSE),0)+IFERROR(VLOOKUP($B23,'RA7-Mine Infrastructure Area'!$A$11:$BN$18,MATCH(Summary!F$1,'RA7-Mine Infrastructure Area'!$A$9:$BN$9,1),FALSE),0)+IFERROR(VLOOKUP($B23,'RA8-Water Management Structures'!$A$11:$BN$18,MATCH(Summary!F$1,'RA8-Water Management Structures'!$A$9:$BN$9,1),FALSE),0)+IFERROR(VLOOKUP($B23,'RA9-Codisposal Upper'!$A$11:$BN$18,MATCH(Summary!F$1,'RA9-Codisposal Upper'!$A$9:$BN$9,1),FALSE),0)+IFERROR(VLOOKUP($B23,'RA10-Codisposal Slopes'!$A$11:$BN$18,MATCH(Summary!F$1,'RA10-Codisposal Slopes'!$A$9:$BN$9,1),FALSE),0)+IFERROR(VLOOKUP($B23,'IA1-Final Void inc Ramps'!$A$11:$BN$18,MATCH(Summary!F$1,'IA1-Final Void inc Ramps'!$A$9:$BN$9,1),FALSE),0)</f>
        <v>0</v>
      </c>
      <c r="G23" s="47">
        <f>IFERROR(VLOOKUP($B23,'RA1- Elevated Dumps Upper'!$A$11:$BN$18,MATCH(Summary!G$1,'RA1- Elevated Dumps Upper'!$A$9:$BN$9,1),FALSE),0)+IFERROR(VLOOKUP($B23,'RA2-Elevated Dumps Slopes'!$A$11:$BN$18,MATCH(Summary!G$1,'RA2-Elevated Dumps Slopes'!$A$9:$BN$9,1),FALSE),0)+IFERROR(VLOOKUP($B23,'RA3-Backfilled Pits'!$A$11:$BN$18,MATCH(Summary!G$1,'RA3-Backfilled Pits'!$A$9:$BN$9,1),FALSE),0)+IFERROR(VLOOKUP($B23,'RA4-Tracks_Roads'!$A$11:$BN$18,MATCH(Summary!G$1,'RA4-Tracks_Roads'!$A$9:$BN$9,1),FALSE),0)+IFERROR(VLOOKUP($B23,'RA5-ROM'!$A$11:$BN$18,MATCH(Summary!G$1,'RA5-ROM'!$A$9:$BN$9,1),FALSE),0)+IFERROR(VLOOKUP($B23,'RA6-CHPP'!$A$11:$BN$18,MATCH(Summary!G$1,'RA6-CHPP'!$A$9:$BN$9,1),FALSE),0)+IFERROR(VLOOKUP($B23,'RA7-Mine Infrastructure Area'!$A$11:$BN$18,MATCH(Summary!G$1,'RA7-Mine Infrastructure Area'!$A$9:$BN$9,1),FALSE),0)+IFERROR(VLOOKUP($B23,'RA8-Water Management Structures'!$A$11:$BN$18,MATCH(Summary!G$1,'RA8-Water Management Structures'!$A$9:$BN$9,1),FALSE),0)+IFERROR(VLOOKUP($B23,'RA9-Codisposal Upper'!$A$11:$BN$18,MATCH(Summary!G$1,'RA9-Codisposal Upper'!$A$9:$BN$9,1),FALSE),0)+IFERROR(VLOOKUP($B23,'RA10-Codisposal Slopes'!$A$11:$BN$18,MATCH(Summary!G$1,'RA10-Codisposal Slopes'!$A$9:$BN$9,1),FALSE),0)+IFERROR(VLOOKUP($B23,'IA1-Final Void inc Ramps'!$A$11:$BN$18,MATCH(Summary!G$1,'IA1-Final Void inc Ramps'!$A$9:$BN$9,1),FALSE),0)</f>
        <v>0</v>
      </c>
      <c r="H23" s="47">
        <f>IFERROR(VLOOKUP($B23,'RA1- Elevated Dumps Upper'!$A$11:$BN$18,MATCH(Summary!H$1,'RA1- Elevated Dumps Upper'!$A$9:$BN$9,1),FALSE),0)+IFERROR(VLOOKUP($B23,'RA2-Elevated Dumps Slopes'!$A$11:$BN$18,MATCH(Summary!H$1,'RA2-Elevated Dumps Slopes'!$A$9:$BN$9,1),FALSE),0)+IFERROR(VLOOKUP($B23,'RA3-Backfilled Pits'!$A$11:$BN$18,MATCH(Summary!H$1,'RA3-Backfilled Pits'!$A$9:$BN$9,1),FALSE),0)+IFERROR(VLOOKUP($B23,'RA4-Tracks_Roads'!$A$11:$BN$18,MATCH(Summary!H$1,'RA4-Tracks_Roads'!$A$9:$BN$9,1),FALSE),0)+IFERROR(VLOOKUP($B23,'RA5-ROM'!$A$11:$BN$18,MATCH(Summary!H$1,'RA5-ROM'!$A$9:$BN$9,1),FALSE),0)+IFERROR(VLOOKUP($B23,'RA6-CHPP'!$A$11:$BN$18,MATCH(Summary!H$1,'RA6-CHPP'!$A$9:$BN$9,1),FALSE),0)+IFERROR(VLOOKUP($B23,'RA7-Mine Infrastructure Area'!$A$11:$BN$18,MATCH(Summary!H$1,'RA7-Mine Infrastructure Area'!$A$9:$BN$9,1),FALSE),0)+IFERROR(VLOOKUP($B23,'RA8-Water Management Structures'!$A$11:$BN$18,MATCH(Summary!H$1,'RA8-Water Management Structures'!$A$9:$BN$9,1),FALSE),0)+IFERROR(VLOOKUP($B23,'RA9-Codisposal Upper'!$A$11:$BN$18,MATCH(Summary!H$1,'RA9-Codisposal Upper'!$A$9:$BN$9,1),FALSE),0)+IFERROR(VLOOKUP($B23,'RA10-Codisposal Slopes'!$A$11:$BN$18,MATCH(Summary!H$1,'RA10-Codisposal Slopes'!$A$9:$BN$9,1),FALSE),0)+IFERROR(VLOOKUP($B23,'IA1-Final Void inc Ramps'!$A$11:$BN$18,MATCH(Summary!H$1,'IA1-Final Void inc Ramps'!$A$9:$BN$9,1),FALSE),0)</f>
        <v>0</v>
      </c>
      <c r="I23" s="47">
        <f>IFERROR(VLOOKUP($B23,'RA1- Elevated Dumps Upper'!$A$11:$BN$18,MATCH(Summary!I$1,'RA1- Elevated Dumps Upper'!$A$9:$BN$9,1),FALSE),0)+IFERROR(VLOOKUP($B23,'RA2-Elevated Dumps Slopes'!$A$11:$BN$18,MATCH(Summary!I$1,'RA2-Elevated Dumps Slopes'!$A$9:$BN$9,1),FALSE),0)+IFERROR(VLOOKUP($B23,'RA3-Backfilled Pits'!$A$11:$BN$18,MATCH(Summary!I$1,'RA3-Backfilled Pits'!$A$9:$BN$9,1),FALSE),0)+IFERROR(VLOOKUP($B23,'RA4-Tracks_Roads'!$A$11:$BN$18,MATCH(Summary!I$1,'RA4-Tracks_Roads'!$A$9:$BN$9,1),FALSE),0)+IFERROR(VLOOKUP($B23,'RA5-ROM'!$A$11:$BN$18,MATCH(Summary!I$1,'RA5-ROM'!$A$9:$BN$9,1),FALSE),0)+IFERROR(VLOOKUP($B23,'RA6-CHPP'!$A$11:$BN$18,MATCH(Summary!I$1,'RA6-CHPP'!$A$9:$BN$9,1),FALSE),0)+IFERROR(VLOOKUP($B23,'RA7-Mine Infrastructure Area'!$A$11:$BN$18,MATCH(Summary!I$1,'RA7-Mine Infrastructure Area'!$A$9:$BN$9,1),FALSE),0)+IFERROR(VLOOKUP($B23,'RA8-Water Management Structures'!$A$11:$BN$18,MATCH(Summary!I$1,'RA8-Water Management Structures'!$A$9:$BN$9,1),FALSE),0)+IFERROR(VLOOKUP($B23,'RA9-Codisposal Upper'!$A$11:$BN$18,MATCH(Summary!I$1,'RA9-Codisposal Upper'!$A$9:$BN$9,1),FALSE),0)+IFERROR(VLOOKUP($B23,'RA10-Codisposal Slopes'!$A$11:$BN$18,MATCH(Summary!I$1,'RA10-Codisposal Slopes'!$A$9:$BN$9,1),FALSE),0)+IFERROR(VLOOKUP($B23,'IA1-Final Void inc Ramps'!$A$11:$BN$18,MATCH(Summary!I$1,'IA1-Final Void inc Ramps'!$A$9:$BN$9,1),FALSE),0)</f>
        <v>0</v>
      </c>
      <c r="J23" s="47">
        <f>IFERROR(VLOOKUP($B23,'RA1- Elevated Dumps Upper'!$A$11:$BN$18,MATCH(Summary!J$1,'RA1- Elevated Dumps Upper'!$A$9:$BN$9,1),FALSE),0)+IFERROR(VLOOKUP($B23,'RA2-Elevated Dumps Slopes'!$A$11:$BN$18,MATCH(Summary!J$1,'RA2-Elevated Dumps Slopes'!$A$9:$BN$9,1),FALSE),0)+IFERROR(VLOOKUP($B23,'RA3-Backfilled Pits'!$A$11:$BN$18,MATCH(Summary!J$1,'RA3-Backfilled Pits'!$A$9:$BN$9,1),FALSE),0)+IFERROR(VLOOKUP($B23,'RA4-Tracks_Roads'!$A$11:$BN$18,MATCH(Summary!J$1,'RA4-Tracks_Roads'!$A$9:$BN$9,1),FALSE),0)+IFERROR(VLOOKUP($B23,'RA5-ROM'!$A$11:$BN$18,MATCH(Summary!J$1,'RA5-ROM'!$A$9:$BN$9,1),FALSE),0)+IFERROR(VLOOKUP($B23,'RA6-CHPP'!$A$11:$BN$18,MATCH(Summary!J$1,'RA6-CHPP'!$A$9:$BN$9,1),FALSE),0)+IFERROR(VLOOKUP($B23,'RA7-Mine Infrastructure Area'!$A$11:$BN$18,MATCH(Summary!J$1,'RA7-Mine Infrastructure Area'!$A$9:$BN$9,1),FALSE),0)+IFERROR(VLOOKUP($B23,'RA8-Water Management Structures'!$A$11:$BN$18,MATCH(Summary!J$1,'RA8-Water Management Structures'!$A$9:$BN$9,1),FALSE),0)+IFERROR(VLOOKUP($B23,'RA9-Codisposal Upper'!$A$11:$BN$18,MATCH(Summary!J$1,'RA9-Codisposal Upper'!$A$9:$BN$9,1),FALSE),0)+IFERROR(VLOOKUP($B23,'RA10-Codisposal Slopes'!$A$11:$BN$18,MATCH(Summary!J$1,'RA10-Codisposal Slopes'!$A$9:$BN$9,1),FALSE),0)+IFERROR(VLOOKUP($B23,'IA1-Final Void inc Ramps'!$A$11:$BN$18,MATCH(Summary!J$1,'IA1-Final Void inc Ramps'!$A$9:$BN$9,1),FALSE),0)</f>
        <v>0</v>
      </c>
      <c r="K23" s="47">
        <f>IFERROR(VLOOKUP($B23,'RA1- Elevated Dumps Upper'!$A$11:$BN$18,MATCH(Summary!K$1,'RA1- Elevated Dumps Upper'!$A$9:$BN$9,1),FALSE),0)+IFERROR(VLOOKUP($B23,'RA2-Elevated Dumps Slopes'!$A$11:$BN$18,MATCH(Summary!K$1,'RA2-Elevated Dumps Slopes'!$A$9:$BN$9,1),FALSE),0)+IFERROR(VLOOKUP($B23,'RA3-Backfilled Pits'!$A$11:$BN$18,MATCH(Summary!K$1,'RA3-Backfilled Pits'!$A$9:$BN$9,1),FALSE),0)+IFERROR(VLOOKUP($B23,'RA4-Tracks_Roads'!$A$11:$BN$18,MATCH(Summary!K$1,'RA4-Tracks_Roads'!$A$9:$BN$9,1),FALSE),0)+IFERROR(VLOOKUP($B23,'RA5-ROM'!$A$11:$BN$18,MATCH(Summary!K$1,'RA5-ROM'!$A$9:$BN$9,1),FALSE),0)+IFERROR(VLOOKUP($B23,'RA6-CHPP'!$A$11:$BN$18,MATCH(Summary!K$1,'RA6-CHPP'!$A$9:$BN$9,1),FALSE),0)+IFERROR(VLOOKUP($B23,'RA7-Mine Infrastructure Area'!$A$11:$BN$18,MATCH(Summary!K$1,'RA7-Mine Infrastructure Area'!$A$9:$BN$9,1),FALSE),0)+IFERROR(VLOOKUP($B23,'RA8-Water Management Structures'!$A$11:$BN$18,MATCH(Summary!K$1,'RA8-Water Management Structures'!$A$9:$BN$9,1),FALSE),0)+IFERROR(VLOOKUP($B23,'RA9-Codisposal Upper'!$A$11:$BN$18,MATCH(Summary!K$1,'RA9-Codisposal Upper'!$A$9:$BN$9,1),FALSE),0)+IFERROR(VLOOKUP($B23,'RA10-Codisposal Slopes'!$A$11:$BN$18,MATCH(Summary!K$1,'RA10-Codisposal Slopes'!$A$9:$BN$9,1),FALSE),0)+IFERROR(VLOOKUP($B23,'IA1-Final Void inc Ramps'!$A$11:$BN$18,MATCH(Summary!K$1,'IA1-Final Void inc Ramps'!$A$9:$BN$9,1),FALSE),0)</f>
        <v>0</v>
      </c>
      <c r="L23" s="47">
        <f>IFERROR(VLOOKUP($B23,'RA1- Elevated Dumps Upper'!$A$11:$BN$18,MATCH(Summary!L$1,'RA1- Elevated Dumps Upper'!$A$9:$BN$9,1),FALSE),0)+IFERROR(VLOOKUP($B23,'RA2-Elevated Dumps Slopes'!$A$11:$BN$18,MATCH(Summary!L$1,'RA2-Elevated Dumps Slopes'!$A$9:$BN$9,1),FALSE),0)+IFERROR(VLOOKUP($B23,'RA3-Backfilled Pits'!$A$11:$BN$18,MATCH(Summary!L$1,'RA3-Backfilled Pits'!$A$9:$BN$9,1),FALSE),0)+IFERROR(VLOOKUP($B23,'RA4-Tracks_Roads'!$A$11:$BN$18,MATCH(Summary!L$1,'RA4-Tracks_Roads'!$A$9:$BN$9,1),FALSE),0)+IFERROR(VLOOKUP($B23,'RA5-ROM'!$A$11:$BN$18,MATCH(Summary!L$1,'RA5-ROM'!$A$9:$BN$9,1),FALSE),0)+IFERROR(VLOOKUP($B23,'RA6-CHPP'!$A$11:$BN$18,MATCH(Summary!L$1,'RA6-CHPP'!$A$9:$BN$9,1),FALSE),0)+IFERROR(VLOOKUP($B23,'RA7-Mine Infrastructure Area'!$A$11:$BN$18,MATCH(Summary!L$1,'RA7-Mine Infrastructure Area'!$A$9:$BN$9,1),FALSE),0)+IFERROR(VLOOKUP($B23,'RA8-Water Management Structures'!$A$11:$BN$18,MATCH(Summary!L$1,'RA8-Water Management Structures'!$A$9:$BN$9,1),FALSE),0)+IFERROR(VLOOKUP($B23,'RA9-Codisposal Upper'!$A$11:$BN$18,MATCH(Summary!L$1,'RA9-Codisposal Upper'!$A$9:$BN$9,1),FALSE),0)+IFERROR(VLOOKUP($B23,'RA10-Codisposal Slopes'!$A$11:$BN$18,MATCH(Summary!L$1,'RA10-Codisposal Slopes'!$A$9:$BN$9,1),FALSE),0)+IFERROR(VLOOKUP($B23,'IA1-Final Void inc Ramps'!$A$11:$BN$18,MATCH(Summary!L$1,'IA1-Final Void inc Ramps'!$A$9:$BN$9,1),FALSE),0)</f>
        <v>0</v>
      </c>
      <c r="M23" s="47">
        <f>IFERROR(VLOOKUP($B23,'RA1- Elevated Dumps Upper'!$A$11:$BN$18,MATCH(Summary!M$1,'RA1- Elevated Dumps Upper'!$A$9:$BN$9,1),FALSE),0)+IFERROR(VLOOKUP($B23,'RA2-Elevated Dumps Slopes'!$A$11:$BN$18,MATCH(Summary!M$1,'RA2-Elevated Dumps Slopes'!$A$9:$BN$9,1),FALSE),0)+IFERROR(VLOOKUP($B23,'RA3-Backfilled Pits'!$A$11:$BN$18,MATCH(Summary!M$1,'RA3-Backfilled Pits'!$A$9:$BN$9,1),FALSE),0)+IFERROR(VLOOKUP($B23,'RA4-Tracks_Roads'!$A$11:$BN$18,MATCH(Summary!M$1,'RA4-Tracks_Roads'!$A$9:$BN$9,1),FALSE),0)+IFERROR(VLOOKUP($B23,'RA5-ROM'!$A$11:$BN$18,MATCH(Summary!M$1,'RA5-ROM'!$A$9:$BN$9,1),FALSE),0)+IFERROR(VLOOKUP($B23,'RA6-CHPP'!$A$11:$BN$18,MATCH(Summary!M$1,'RA6-CHPP'!$A$9:$BN$9,1),FALSE),0)+IFERROR(VLOOKUP($B23,'RA7-Mine Infrastructure Area'!$A$11:$BN$18,MATCH(Summary!M$1,'RA7-Mine Infrastructure Area'!$A$9:$BN$9,1),FALSE),0)+IFERROR(VLOOKUP($B23,'RA8-Water Management Structures'!$A$11:$BN$18,MATCH(Summary!M$1,'RA8-Water Management Structures'!$A$9:$BN$9,1),FALSE),0)+IFERROR(VLOOKUP($B23,'RA9-Codisposal Upper'!$A$11:$BN$18,MATCH(Summary!M$1,'RA9-Codisposal Upper'!$A$9:$BN$9,1),FALSE),0)+IFERROR(VLOOKUP($B23,'RA10-Codisposal Slopes'!$A$11:$BN$18,MATCH(Summary!M$1,'RA10-Codisposal Slopes'!$A$9:$BN$9,1),FALSE),0)+IFERROR(VLOOKUP($B23,'IA1-Final Void inc Ramps'!$A$11:$BN$18,MATCH(Summary!M$1,'IA1-Final Void inc Ramps'!$A$9:$BN$9,1),FALSE),0)</f>
        <v>0</v>
      </c>
      <c r="N23" s="47">
        <f>IFERROR(VLOOKUP($B23,'RA1- Elevated Dumps Upper'!$A$11:$BN$18,MATCH(Summary!N$1,'RA1- Elevated Dumps Upper'!$A$9:$BN$9,1),FALSE),0)+IFERROR(VLOOKUP($B23,'RA2-Elevated Dumps Slopes'!$A$11:$BN$18,MATCH(Summary!N$1,'RA2-Elevated Dumps Slopes'!$A$9:$BN$9,1),FALSE),0)+IFERROR(VLOOKUP($B23,'RA3-Backfilled Pits'!$A$11:$BN$18,MATCH(Summary!N$1,'RA3-Backfilled Pits'!$A$9:$BN$9,1),FALSE),0)+IFERROR(VLOOKUP($B23,'RA4-Tracks_Roads'!$A$11:$BN$18,MATCH(Summary!N$1,'RA4-Tracks_Roads'!$A$9:$BN$9,1),FALSE),0)+IFERROR(VLOOKUP($B23,'RA5-ROM'!$A$11:$BN$18,MATCH(Summary!N$1,'RA5-ROM'!$A$9:$BN$9,1),FALSE),0)+IFERROR(VLOOKUP($B23,'RA6-CHPP'!$A$11:$BN$18,MATCH(Summary!N$1,'RA6-CHPP'!$A$9:$BN$9,1),FALSE),0)+IFERROR(VLOOKUP($B23,'RA7-Mine Infrastructure Area'!$A$11:$BN$18,MATCH(Summary!N$1,'RA7-Mine Infrastructure Area'!$A$9:$BN$9,1),FALSE),0)+IFERROR(VLOOKUP($B23,'RA8-Water Management Structures'!$A$11:$BN$18,MATCH(Summary!N$1,'RA8-Water Management Structures'!$A$9:$BN$9,1),FALSE),0)+IFERROR(VLOOKUP($B23,'RA9-Codisposal Upper'!$A$11:$BN$18,MATCH(Summary!N$1,'RA9-Codisposal Upper'!$A$9:$BN$9,1),FALSE),0)+IFERROR(VLOOKUP($B23,'RA10-Codisposal Slopes'!$A$11:$BN$18,MATCH(Summary!N$1,'RA10-Codisposal Slopes'!$A$9:$BN$9,1),FALSE),0)+IFERROR(VLOOKUP($B23,'IA1-Final Void inc Ramps'!$A$11:$BN$18,MATCH(Summary!N$1,'IA1-Final Void inc Ramps'!$A$9:$BN$9,1),FALSE),0)</f>
        <v>0</v>
      </c>
      <c r="O23" s="47">
        <f>IFERROR(VLOOKUP($B23,'RA1- Elevated Dumps Upper'!$A$11:$BN$18,MATCH(Summary!O$1,'RA1- Elevated Dumps Upper'!$A$9:$BN$9,1),FALSE),0)+IFERROR(VLOOKUP($B23,'RA2-Elevated Dumps Slopes'!$A$11:$BN$18,MATCH(Summary!O$1,'RA2-Elevated Dumps Slopes'!$A$9:$BN$9,1),FALSE),0)+IFERROR(VLOOKUP($B23,'RA3-Backfilled Pits'!$A$11:$BN$18,MATCH(Summary!O$1,'RA3-Backfilled Pits'!$A$9:$BN$9,1),FALSE),0)+IFERROR(VLOOKUP($B23,'RA4-Tracks_Roads'!$A$11:$BN$18,MATCH(Summary!O$1,'RA4-Tracks_Roads'!$A$9:$BN$9,1),FALSE),0)+IFERROR(VLOOKUP($B23,'RA5-ROM'!$A$11:$BN$18,MATCH(Summary!O$1,'RA5-ROM'!$A$9:$BN$9,1),FALSE),0)+IFERROR(VLOOKUP($B23,'RA6-CHPP'!$A$11:$BN$18,MATCH(Summary!O$1,'RA6-CHPP'!$A$9:$BN$9,1),FALSE),0)+IFERROR(VLOOKUP($B23,'RA7-Mine Infrastructure Area'!$A$11:$BN$18,MATCH(Summary!O$1,'RA7-Mine Infrastructure Area'!$A$9:$BN$9,1),FALSE),0)+IFERROR(VLOOKUP($B23,'RA8-Water Management Structures'!$A$11:$BN$18,MATCH(Summary!O$1,'RA8-Water Management Structures'!$A$9:$BN$9,1),FALSE),0)+IFERROR(VLOOKUP($B23,'RA9-Codisposal Upper'!$A$11:$BN$18,MATCH(Summary!O$1,'RA9-Codisposal Upper'!$A$9:$BN$9,1),FALSE),0)+IFERROR(VLOOKUP($B23,'RA10-Codisposal Slopes'!$A$11:$BN$18,MATCH(Summary!O$1,'RA10-Codisposal Slopes'!$A$9:$BN$9,1),FALSE),0)+IFERROR(VLOOKUP($B23,'IA1-Final Void inc Ramps'!$A$11:$BN$18,MATCH(Summary!O$1,'IA1-Final Void inc Ramps'!$A$9:$BN$9,1),FALSE),0)</f>
        <v>0</v>
      </c>
      <c r="P23" s="47">
        <f>IFERROR(VLOOKUP($B23,'RA1- Elevated Dumps Upper'!$A$11:$BN$18,MATCH(Summary!P$1,'RA1- Elevated Dumps Upper'!$A$9:$BN$9,1),FALSE),0)+IFERROR(VLOOKUP($B23,'RA2-Elevated Dumps Slopes'!$A$11:$BN$18,MATCH(Summary!P$1,'RA2-Elevated Dumps Slopes'!$A$9:$BN$9,1),FALSE),0)+IFERROR(VLOOKUP($B23,'RA3-Backfilled Pits'!$A$11:$BN$18,MATCH(Summary!P$1,'RA3-Backfilled Pits'!$A$9:$BN$9,1),FALSE),0)+IFERROR(VLOOKUP($B23,'RA4-Tracks_Roads'!$A$11:$BN$18,MATCH(Summary!P$1,'RA4-Tracks_Roads'!$A$9:$BN$9,1),FALSE),0)+IFERROR(VLOOKUP($B23,'RA5-ROM'!$A$11:$BN$18,MATCH(Summary!P$1,'RA5-ROM'!$A$9:$BN$9,1),FALSE),0)+IFERROR(VLOOKUP($B23,'RA6-CHPP'!$A$11:$BN$18,MATCH(Summary!P$1,'RA6-CHPP'!$A$9:$BN$9,1),FALSE),0)+IFERROR(VLOOKUP($B23,'RA7-Mine Infrastructure Area'!$A$11:$BN$18,MATCH(Summary!P$1,'RA7-Mine Infrastructure Area'!$A$9:$BN$9,1),FALSE),0)+IFERROR(VLOOKUP($B23,'RA8-Water Management Structures'!$A$11:$BN$18,MATCH(Summary!P$1,'RA8-Water Management Structures'!$A$9:$BN$9,1),FALSE),0)+IFERROR(VLOOKUP($B23,'RA9-Codisposal Upper'!$A$11:$BN$18,MATCH(Summary!P$1,'RA9-Codisposal Upper'!$A$9:$BN$9,1),FALSE),0)+IFERROR(VLOOKUP($B23,'RA10-Codisposal Slopes'!$A$11:$BN$18,MATCH(Summary!P$1,'RA10-Codisposal Slopes'!$A$9:$BN$9,1),FALSE),0)+IFERROR(VLOOKUP($B23,'IA1-Final Void inc Ramps'!$A$11:$BN$18,MATCH(Summary!P$1,'IA1-Final Void inc Ramps'!$A$9:$BN$9,1),FALSE),0)</f>
        <v>0</v>
      </c>
      <c r="Q23" s="47">
        <f>IFERROR(VLOOKUP($B23,'RA1- Elevated Dumps Upper'!$A$11:$BN$18,MATCH(Summary!Q$1,'RA1- Elevated Dumps Upper'!$A$9:$BN$9,1),FALSE),0)+IFERROR(VLOOKUP($B23,'RA2-Elevated Dumps Slopes'!$A$11:$BN$18,MATCH(Summary!Q$1,'RA2-Elevated Dumps Slopes'!$A$9:$BN$9,1),FALSE),0)+IFERROR(VLOOKUP($B23,'RA3-Backfilled Pits'!$A$11:$BN$18,MATCH(Summary!Q$1,'RA3-Backfilled Pits'!$A$9:$BN$9,1),FALSE),0)+IFERROR(VLOOKUP($B23,'RA4-Tracks_Roads'!$A$11:$BN$18,MATCH(Summary!Q$1,'RA4-Tracks_Roads'!$A$9:$BN$9,1),FALSE),0)+IFERROR(VLOOKUP($B23,'RA5-ROM'!$A$11:$BN$18,MATCH(Summary!Q$1,'RA5-ROM'!$A$9:$BN$9,1),FALSE),0)+IFERROR(VLOOKUP($B23,'RA6-CHPP'!$A$11:$BN$18,MATCH(Summary!Q$1,'RA6-CHPP'!$A$9:$BN$9,1),FALSE),0)+IFERROR(VLOOKUP($B23,'RA7-Mine Infrastructure Area'!$A$11:$BN$18,MATCH(Summary!Q$1,'RA7-Mine Infrastructure Area'!$A$9:$BN$9,1),FALSE),0)+IFERROR(VLOOKUP($B23,'RA8-Water Management Structures'!$A$11:$BN$18,MATCH(Summary!Q$1,'RA8-Water Management Structures'!$A$9:$BN$9,1),FALSE),0)+IFERROR(VLOOKUP($B23,'RA9-Codisposal Upper'!$A$11:$BN$18,MATCH(Summary!Q$1,'RA9-Codisposal Upper'!$A$9:$BN$9,1),FALSE),0)+IFERROR(VLOOKUP($B23,'RA10-Codisposal Slopes'!$A$11:$BN$18,MATCH(Summary!Q$1,'RA10-Codisposal Slopes'!$A$9:$BN$9,1),FALSE),0)+IFERROR(VLOOKUP($B23,'IA1-Final Void inc Ramps'!$A$11:$BN$18,MATCH(Summary!Q$1,'IA1-Final Void inc Ramps'!$A$9:$BN$9,1),FALSE),0)</f>
        <v>0</v>
      </c>
      <c r="R23" s="47">
        <f>IFERROR(VLOOKUP($B23,'RA1- Elevated Dumps Upper'!$A$11:$BN$18,MATCH(Summary!R$1,'RA1- Elevated Dumps Upper'!$A$9:$BN$9,1),FALSE),0)+IFERROR(VLOOKUP($B23,'RA2-Elevated Dumps Slopes'!$A$11:$BN$18,MATCH(Summary!R$1,'RA2-Elevated Dumps Slopes'!$A$9:$BN$9,1),FALSE),0)+IFERROR(VLOOKUP($B23,'RA3-Backfilled Pits'!$A$11:$BN$18,MATCH(Summary!R$1,'RA3-Backfilled Pits'!$A$9:$BN$9,1),FALSE),0)+IFERROR(VLOOKUP($B23,'RA4-Tracks_Roads'!$A$11:$BN$18,MATCH(Summary!R$1,'RA4-Tracks_Roads'!$A$9:$BN$9,1),FALSE),0)+IFERROR(VLOOKUP($B23,'RA5-ROM'!$A$11:$BN$18,MATCH(Summary!R$1,'RA5-ROM'!$A$9:$BN$9,1),FALSE),0)+IFERROR(VLOOKUP($B23,'RA6-CHPP'!$A$11:$BN$18,MATCH(Summary!R$1,'RA6-CHPP'!$A$9:$BN$9,1),FALSE),0)+IFERROR(VLOOKUP($B23,'RA7-Mine Infrastructure Area'!$A$11:$BN$18,MATCH(Summary!R$1,'RA7-Mine Infrastructure Area'!$A$9:$BN$9,1),FALSE),0)+IFERROR(VLOOKUP($B23,'RA8-Water Management Structures'!$A$11:$BN$18,MATCH(Summary!R$1,'RA8-Water Management Structures'!$A$9:$BN$9,1),FALSE),0)+IFERROR(VLOOKUP($B23,'RA9-Codisposal Upper'!$A$11:$BN$18,MATCH(Summary!R$1,'RA9-Codisposal Upper'!$A$9:$BN$9,1),FALSE),0)+IFERROR(VLOOKUP($B23,'RA10-Codisposal Slopes'!$A$11:$BN$18,MATCH(Summary!R$1,'RA10-Codisposal Slopes'!$A$9:$BN$9,1),FALSE),0)+IFERROR(VLOOKUP($B23,'IA1-Final Void inc Ramps'!$A$11:$BN$18,MATCH(Summary!R$1,'IA1-Final Void inc Ramps'!$A$9:$BN$9,1),FALSE),0)</f>
        <v>0</v>
      </c>
      <c r="S23" s="47">
        <f>IFERROR(VLOOKUP($B23,'RA1- Elevated Dumps Upper'!$A$11:$BN$18,MATCH(Summary!S$1,'RA1- Elevated Dumps Upper'!$A$9:$BN$9,1),FALSE),0)+IFERROR(VLOOKUP($B23,'RA2-Elevated Dumps Slopes'!$A$11:$BN$18,MATCH(Summary!S$1,'RA2-Elevated Dumps Slopes'!$A$9:$BN$9,1),FALSE),0)+IFERROR(VLOOKUP($B23,'RA3-Backfilled Pits'!$A$11:$BN$18,MATCH(Summary!S$1,'RA3-Backfilled Pits'!$A$9:$BN$9,1),FALSE),0)+IFERROR(VLOOKUP($B23,'RA4-Tracks_Roads'!$A$11:$BN$18,MATCH(Summary!S$1,'RA4-Tracks_Roads'!$A$9:$BN$9,1),FALSE),0)+IFERROR(VLOOKUP($B23,'RA5-ROM'!$A$11:$BN$18,MATCH(Summary!S$1,'RA5-ROM'!$A$9:$BN$9,1),FALSE),0)+IFERROR(VLOOKUP($B23,'RA6-CHPP'!$A$11:$BN$18,MATCH(Summary!S$1,'RA6-CHPP'!$A$9:$BN$9,1),FALSE),0)+IFERROR(VLOOKUP($B23,'RA7-Mine Infrastructure Area'!$A$11:$BN$18,MATCH(Summary!S$1,'RA7-Mine Infrastructure Area'!$A$9:$BN$9,1),FALSE),0)+IFERROR(VLOOKUP($B23,'RA8-Water Management Structures'!$A$11:$BN$18,MATCH(Summary!S$1,'RA8-Water Management Structures'!$A$9:$BN$9,1),FALSE),0)+IFERROR(VLOOKUP($B23,'RA9-Codisposal Upper'!$A$11:$BN$18,MATCH(Summary!S$1,'RA9-Codisposal Upper'!$A$9:$BN$9,1),FALSE),0)+IFERROR(VLOOKUP($B23,'RA10-Codisposal Slopes'!$A$11:$BN$18,MATCH(Summary!S$1,'RA10-Codisposal Slopes'!$A$9:$BN$9,1),FALSE),0)+IFERROR(VLOOKUP($B23,'IA1-Final Void inc Ramps'!$A$11:$BN$18,MATCH(Summary!S$1,'IA1-Final Void inc Ramps'!$A$9:$BN$9,1),FALSE),0)</f>
        <v>0</v>
      </c>
      <c r="T23" s="47">
        <f>IFERROR(VLOOKUP($B23,'RA1- Elevated Dumps Upper'!$A$11:$BN$18,MATCH(Summary!T$1,'RA1- Elevated Dumps Upper'!$A$9:$BN$9,1),FALSE),0)+IFERROR(VLOOKUP($B23,'RA2-Elevated Dumps Slopes'!$A$11:$BN$18,MATCH(Summary!T$1,'RA2-Elevated Dumps Slopes'!$A$9:$BN$9,1),FALSE),0)+IFERROR(VLOOKUP($B23,'RA3-Backfilled Pits'!$A$11:$BN$18,MATCH(Summary!T$1,'RA3-Backfilled Pits'!$A$9:$BN$9,1),FALSE),0)+IFERROR(VLOOKUP($B23,'RA4-Tracks_Roads'!$A$11:$BN$18,MATCH(Summary!T$1,'RA4-Tracks_Roads'!$A$9:$BN$9,1),FALSE),0)+IFERROR(VLOOKUP($B23,'RA5-ROM'!$A$11:$BN$18,MATCH(Summary!T$1,'RA5-ROM'!$A$9:$BN$9,1),FALSE),0)+IFERROR(VLOOKUP($B23,'RA6-CHPP'!$A$11:$BN$18,MATCH(Summary!T$1,'RA6-CHPP'!$A$9:$BN$9,1),FALSE),0)+IFERROR(VLOOKUP($B23,'RA7-Mine Infrastructure Area'!$A$11:$BN$18,MATCH(Summary!T$1,'RA7-Mine Infrastructure Area'!$A$9:$BN$9,1),FALSE),0)+IFERROR(VLOOKUP($B23,'RA8-Water Management Structures'!$A$11:$BN$18,MATCH(Summary!T$1,'RA8-Water Management Structures'!$A$9:$BN$9,1),FALSE),0)+IFERROR(VLOOKUP($B23,'RA9-Codisposal Upper'!$A$11:$BN$18,MATCH(Summary!T$1,'RA9-Codisposal Upper'!$A$9:$BN$9,1),FALSE),0)+IFERROR(VLOOKUP($B23,'RA10-Codisposal Slopes'!$A$11:$BN$18,MATCH(Summary!T$1,'RA10-Codisposal Slopes'!$A$9:$BN$9,1),FALSE),0)+IFERROR(VLOOKUP($B23,'IA1-Final Void inc Ramps'!$A$11:$BN$18,MATCH(Summary!T$1,'IA1-Final Void inc Ramps'!$A$9:$BN$9,1),FALSE),0)</f>
        <v>0</v>
      </c>
      <c r="U23" s="47">
        <f>IFERROR(VLOOKUP($B23,'RA1- Elevated Dumps Upper'!$A$11:$BN$18,MATCH(Summary!U$1,'RA1- Elevated Dumps Upper'!$A$9:$BN$9,1),FALSE),0)+IFERROR(VLOOKUP($B23,'RA2-Elevated Dumps Slopes'!$A$11:$BN$18,MATCH(Summary!U$1,'RA2-Elevated Dumps Slopes'!$A$9:$BN$9,1),FALSE),0)+IFERROR(VLOOKUP($B23,'RA3-Backfilled Pits'!$A$11:$BN$18,MATCH(Summary!U$1,'RA3-Backfilled Pits'!$A$9:$BN$9,1),FALSE),0)+IFERROR(VLOOKUP($B23,'RA4-Tracks_Roads'!$A$11:$BN$18,MATCH(Summary!U$1,'RA4-Tracks_Roads'!$A$9:$BN$9,1),FALSE),0)+IFERROR(VLOOKUP($B23,'RA5-ROM'!$A$11:$BN$18,MATCH(Summary!U$1,'RA5-ROM'!$A$9:$BN$9,1),FALSE),0)+IFERROR(VLOOKUP($B23,'RA6-CHPP'!$A$11:$BN$18,MATCH(Summary!U$1,'RA6-CHPP'!$A$9:$BN$9,1),FALSE),0)+IFERROR(VLOOKUP($B23,'RA7-Mine Infrastructure Area'!$A$11:$BN$18,MATCH(Summary!U$1,'RA7-Mine Infrastructure Area'!$A$9:$BN$9,1),FALSE),0)+IFERROR(VLOOKUP($B23,'RA8-Water Management Structures'!$A$11:$BN$18,MATCH(Summary!U$1,'RA8-Water Management Structures'!$A$9:$BN$9,1),FALSE),0)+IFERROR(VLOOKUP($B23,'RA9-Codisposal Upper'!$A$11:$BN$18,MATCH(Summary!U$1,'RA9-Codisposal Upper'!$A$9:$BN$9,1),FALSE),0)+IFERROR(VLOOKUP($B23,'RA10-Codisposal Slopes'!$A$11:$BN$18,MATCH(Summary!U$1,'RA10-Codisposal Slopes'!$A$9:$BN$9,1),FALSE),0)+IFERROR(VLOOKUP($B23,'IA1-Final Void inc Ramps'!$A$11:$BN$18,MATCH(Summary!U$1,'IA1-Final Void inc Ramps'!$A$9:$BN$9,1),FALSE),0)</f>
        <v>0</v>
      </c>
      <c r="V23" s="47">
        <f>IFERROR(VLOOKUP($B23,'RA1- Elevated Dumps Upper'!$A$11:$BN$18,MATCH(Summary!V$1,'RA1- Elevated Dumps Upper'!$A$9:$BN$9,1),FALSE),0)+IFERROR(VLOOKUP($B23,'RA2-Elevated Dumps Slopes'!$A$11:$BN$18,MATCH(Summary!V$1,'RA2-Elevated Dumps Slopes'!$A$9:$BN$9,1),FALSE),0)+IFERROR(VLOOKUP($B23,'RA3-Backfilled Pits'!$A$11:$BN$18,MATCH(Summary!V$1,'RA3-Backfilled Pits'!$A$9:$BN$9,1),FALSE),0)+IFERROR(VLOOKUP($B23,'RA4-Tracks_Roads'!$A$11:$BN$18,MATCH(Summary!V$1,'RA4-Tracks_Roads'!$A$9:$BN$9,1),FALSE),0)+IFERROR(VLOOKUP($B23,'RA5-ROM'!$A$11:$BN$18,MATCH(Summary!V$1,'RA5-ROM'!$A$9:$BN$9,1),FALSE),0)+IFERROR(VLOOKUP($B23,'RA6-CHPP'!$A$11:$BN$18,MATCH(Summary!V$1,'RA6-CHPP'!$A$9:$BN$9,1),FALSE),0)+IFERROR(VLOOKUP($B23,'RA7-Mine Infrastructure Area'!$A$11:$BN$18,MATCH(Summary!V$1,'RA7-Mine Infrastructure Area'!$A$9:$BN$9,1),FALSE),0)+IFERROR(VLOOKUP($B23,'RA8-Water Management Structures'!$A$11:$BN$18,MATCH(Summary!V$1,'RA8-Water Management Structures'!$A$9:$BN$9,1),FALSE),0)+IFERROR(VLOOKUP($B23,'RA9-Codisposal Upper'!$A$11:$BN$18,MATCH(Summary!V$1,'RA9-Codisposal Upper'!$A$9:$BN$9,1),FALSE),0)+IFERROR(VLOOKUP($B23,'RA10-Codisposal Slopes'!$A$11:$BN$18,MATCH(Summary!V$1,'RA10-Codisposal Slopes'!$A$9:$BN$9,1),FALSE),0)+IFERROR(VLOOKUP($B23,'IA1-Final Void inc Ramps'!$A$11:$BN$18,MATCH(Summary!V$1,'IA1-Final Void inc Ramps'!$A$9:$BN$9,1),FALSE),0)</f>
        <v>0</v>
      </c>
      <c r="W23" s="47">
        <f>IFERROR(VLOOKUP($B23,'RA1- Elevated Dumps Upper'!$A$11:$BN$18,MATCH(Summary!W$1,'RA1- Elevated Dumps Upper'!$A$9:$BN$9,1),FALSE),0)+IFERROR(VLOOKUP($B23,'RA2-Elevated Dumps Slopes'!$A$11:$BN$18,MATCH(Summary!W$1,'RA2-Elevated Dumps Slopes'!$A$9:$BN$9,1),FALSE),0)+IFERROR(VLOOKUP($B23,'RA3-Backfilled Pits'!$A$11:$BN$18,MATCH(Summary!W$1,'RA3-Backfilled Pits'!$A$9:$BN$9,1),FALSE),0)+IFERROR(VLOOKUP($B23,'RA4-Tracks_Roads'!$A$11:$BN$18,MATCH(Summary!W$1,'RA4-Tracks_Roads'!$A$9:$BN$9,1),FALSE),0)+IFERROR(VLOOKUP($B23,'RA5-ROM'!$A$11:$BN$18,MATCH(Summary!W$1,'RA5-ROM'!$A$9:$BN$9,1),FALSE),0)+IFERROR(VLOOKUP($B23,'RA6-CHPP'!$A$11:$BN$18,MATCH(Summary!W$1,'RA6-CHPP'!$A$9:$BN$9,1),FALSE),0)+IFERROR(VLOOKUP($B23,'RA7-Mine Infrastructure Area'!$A$11:$BN$18,MATCH(Summary!W$1,'RA7-Mine Infrastructure Area'!$A$9:$BN$9,1),FALSE),0)+IFERROR(VLOOKUP($B23,'RA8-Water Management Structures'!$A$11:$BN$18,MATCH(Summary!W$1,'RA8-Water Management Structures'!$A$9:$BN$9,1),FALSE),0)+IFERROR(VLOOKUP($B23,'RA9-Codisposal Upper'!$A$11:$BN$18,MATCH(Summary!W$1,'RA9-Codisposal Upper'!$A$9:$BN$9,1),FALSE),0)+IFERROR(VLOOKUP($B23,'RA10-Codisposal Slopes'!$A$11:$BN$18,MATCH(Summary!W$1,'RA10-Codisposal Slopes'!$A$9:$BN$9,1),FALSE),0)+IFERROR(VLOOKUP($B23,'IA1-Final Void inc Ramps'!$A$11:$BN$18,MATCH(Summary!W$1,'IA1-Final Void inc Ramps'!$A$9:$BN$9,1),FALSE),0)</f>
        <v>0</v>
      </c>
      <c r="X23" s="47">
        <f>IFERROR(VLOOKUP($B23,'RA1- Elevated Dumps Upper'!$A$11:$BN$18,MATCH(Summary!X$1,'RA1- Elevated Dumps Upper'!$A$9:$BN$9,1),FALSE),0)+IFERROR(VLOOKUP($B23,'RA2-Elevated Dumps Slopes'!$A$11:$BN$18,MATCH(Summary!X$1,'RA2-Elevated Dumps Slopes'!$A$9:$BN$9,1),FALSE),0)+IFERROR(VLOOKUP($B23,'RA3-Backfilled Pits'!$A$11:$BN$18,MATCH(Summary!X$1,'RA3-Backfilled Pits'!$A$9:$BN$9,1),FALSE),0)+IFERROR(VLOOKUP($B23,'RA4-Tracks_Roads'!$A$11:$BN$18,MATCH(Summary!X$1,'RA4-Tracks_Roads'!$A$9:$BN$9,1),FALSE),0)+IFERROR(VLOOKUP($B23,'RA5-ROM'!$A$11:$BN$18,MATCH(Summary!X$1,'RA5-ROM'!$A$9:$BN$9,1),FALSE),0)+IFERROR(VLOOKUP($B23,'RA6-CHPP'!$A$11:$BN$18,MATCH(Summary!X$1,'RA6-CHPP'!$A$9:$BN$9,1),FALSE),0)+IFERROR(VLOOKUP($B23,'RA7-Mine Infrastructure Area'!$A$11:$BN$18,MATCH(Summary!X$1,'RA7-Mine Infrastructure Area'!$A$9:$BN$9,1),FALSE),0)+IFERROR(VLOOKUP($B23,'RA8-Water Management Structures'!$A$11:$BN$18,MATCH(Summary!X$1,'RA8-Water Management Structures'!$A$9:$BN$9,1),FALSE),0)+IFERROR(VLOOKUP($B23,'RA9-Codisposal Upper'!$A$11:$BN$18,MATCH(Summary!X$1,'RA9-Codisposal Upper'!$A$9:$BN$9,1),FALSE),0)+IFERROR(VLOOKUP($B23,'RA10-Codisposal Slopes'!$A$11:$BN$18,MATCH(Summary!X$1,'RA10-Codisposal Slopes'!$A$9:$BN$9,1),FALSE),0)+IFERROR(VLOOKUP($B23,'IA1-Final Void inc Ramps'!$A$11:$BN$18,MATCH(Summary!X$1,'IA1-Final Void inc Ramps'!$A$9:$BN$9,1),FALSE),0)</f>
        <v>0</v>
      </c>
      <c r="Y23" s="47">
        <f>IFERROR(VLOOKUP($B23,'RA1- Elevated Dumps Upper'!$A$11:$BN$18,MATCH(Summary!Y$1,'RA1- Elevated Dumps Upper'!$A$9:$BN$9,1),FALSE),0)+IFERROR(VLOOKUP($B23,'RA2-Elevated Dumps Slopes'!$A$11:$BN$18,MATCH(Summary!Y$1,'RA2-Elevated Dumps Slopes'!$A$9:$BN$9,1),FALSE),0)+IFERROR(VLOOKUP($B23,'RA3-Backfilled Pits'!$A$11:$BN$18,MATCH(Summary!Y$1,'RA3-Backfilled Pits'!$A$9:$BN$9,1),FALSE),0)+IFERROR(VLOOKUP($B23,'RA4-Tracks_Roads'!$A$11:$BN$18,MATCH(Summary!Y$1,'RA4-Tracks_Roads'!$A$9:$BN$9,1),FALSE),0)+IFERROR(VLOOKUP($B23,'RA5-ROM'!$A$11:$BN$18,MATCH(Summary!Y$1,'RA5-ROM'!$A$9:$BN$9,1),FALSE),0)+IFERROR(VLOOKUP($B23,'RA6-CHPP'!$A$11:$BN$18,MATCH(Summary!Y$1,'RA6-CHPP'!$A$9:$BN$9,1),FALSE),0)+IFERROR(VLOOKUP($B23,'RA7-Mine Infrastructure Area'!$A$11:$BN$18,MATCH(Summary!Y$1,'RA7-Mine Infrastructure Area'!$A$9:$BN$9,1),FALSE),0)+IFERROR(VLOOKUP($B23,'RA8-Water Management Structures'!$A$11:$BN$18,MATCH(Summary!Y$1,'RA8-Water Management Structures'!$A$9:$BN$9,1),FALSE),0)+IFERROR(VLOOKUP($B23,'RA9-Codisposal Upper'!$A$11:$BN$18,MATCH(Summary!Y$1,'RA9-Codisposal Upper'!$A$9:$BN$9,1),FALSE),0)+IFERROR(VLOOKUP($B23,'RA10-Codisposal Slopes'!$A$11:$BN$18,MATCH(Summary!Y$1,'RA10-Codisposal Slopes'!$A$9:$BN$9,1),FALSE),0)+IFERROR(VLOOKUP($B23,'IA1-Final Void inc Ramps'!$A$11:$BN$18,MATCH(Summary!Y$1,'IA1-Final Void inc Ramps'!$A$9:$BN$9,1),FALSE),0)</f>
        <v>0</v>
      </c>
      <c r="Z23" s="47">
        <f>IFERROR(VLOOKUP($B23,'RA1- Elevated Dumps Upper'!$A$11:$BN$18,MATCH(Summary!Z$1,'RA1- Elevated Dumps Upper'!$A$9:$BN$9,1),FALSE),0)+IFERROR(VLOOKUP($B23,'RA2-Elevated Dumps Slopes'!$A$11:$BN$18,MATCH(Summary!Z$1,'RA2-Elevated Dumps Slopes'!$A$9:$BN$9,1),FALSE),0)+IFERROR(VLOOKUP($B23,'RA3-Backfilled Pits'!$A$11:$BN$18,MATCH(Summary!Z$1,'RA3-Backfilled Pits'!$A$9:$BN$9,1),FALSE),0)+IFERROR(VLOOKUP($B23,'RA4-Tracks_Roads'!$A$11:$BN$18,MATCH(Summary!Z$1,'RA4-Tracks_Roads'!$A$9:$BN$9,1),FALSE),0)+IFERROR(VLOOKUP($B23,'RA5-ROM'!$A$11:$BN$18,MATCH(Summary!Z$1,'RA5-ROM'!$A$9:$BN$9,1),FALSE),0)+IFERROR(VLOOKUP($B23,'RA6-CHPP'!$A$11:$BN$18,MATCH(Summary!Z$1,'RA6-CHPP'!$A$9:$BN$9,1),FALSE),0)+IFERROR(VLOOKUP($B23,'RA7-Mine Infrastructure Area'!$A$11:$BN$18,MATCH(Summary!Z$1,'RA7-Mine Infrastructure Area'!$A$9:$BN$9,1),FALSE),0)+IFERROR(VLOOKUP($B23,'RA8-Water Management Structures'!$A$11:$BN$18,MATCH(Summary!Z$1,'RA8-Water Management Structures'!$A$9:$BN$9,1),FALSE),0)+IFERROR(VLOOKUP($B23,'RA9-Codisposal Upper'!$A$11:$BN$18,MATCH(Summary!Z$1,'RA9-Codisposal Upper'!$A$9:$BN$9,1),FALSE),0)+IFERROR(VLOOKUP($B23,'RA10-Codisposal Slopes'!$A$11:$BN$18,MATCH(Summary!Z$1,'RA10-Codisposal Slopes'!$A$9:$BN$9,1),FALSE),0)+IFERROR(VLOOKUP($B23,'IA1-Final Void inc Ramps'!$A$11:$BN$18,MATCH(Summary!Z$1,'IA1-Final Void inc Ramps'!$A$9:$BN$9,1),FALSE),0)</f>
        <v>0</v>
      </c>
      <c r="AA23" s="47">
        <f>IFERROR(VLOOKUP($B23,'RA1- Elevated Dumps Upper'!$A$11:$BN$18,MATCH(Summary!AA$1,'RA1- Elevated Dumps Upper'!$A$9:$BN$9,1),FALSE),0)+IFERROR(VLOOKUP($B23,'RA2-Elevated Dumps Slopes'!$A$11:$BN$18,MATCH(Summary!AA$1,'RA2-Elevated Dumps Slopes'!$A$9:$BN$9,1),FALSE),0)+IFERROR(VLOOKUP($B23,'RA3-Backfilled Pits'!$A$11:$BN$18,MATCH(Summary!AA$1,'RA3-Backfilled Pits'!$A$9:$BN$9,1),FALSE),0)+IFERROR(VLOOKUP($B23,'RA4-Tracks_Roads'!$A$11:$BN$18,MATCH(Summary!AA$1,'RA4-Tracks_Roads'!$A$9:$BN$9,1),FALSE),0)+IFERROR(VLOOKUP($B23,'RA5-ROM'!$A$11:$BN$18,MATCH(Summary!AA$1,'RA5-ROM'!$A$9:$BN$9,1),FALSE),0)+IFERROR(VLOOKUP($B23,'RA6-CHPP'!$A$11:$BN$18,MATCH(Summary!AA$1,'RA6-CHPP'!$A$9:$BN$9,1),FALSE),0)+IFERROR(VLOOKUP($B23,'RA7-Mine Infrastructure Area'!$A$11:$BN$18,MATCH(Summary!AA$1,'RA7-Mine Infrastructure Area'!$A$9:$BN$9,1),FALSE),0)+IFERROR(VLOOKUP($B23,'RA8-Water Management Structures'!$A$11:$BN$18,MATCH(Summary!AA$1,'RA8-Water Management Structures'!$A$9:$BN$9,1),FALSE),0)+IFERROR(VLOOKUP($B23,'RA9-Codisposal Upper'!$A$11:$BN$18,MATCH(Summary!AA$1,'RA9-Codisposal Upper'!$A$9:$BN$9,1),FALSE),0)+IFERROR(VLOOKUP($B23,'RA10-Codisposal Slopes'!$A$11:$BN$18,MATCH(Summary!AA$1,'RA10-Codisposal Slopes'!$A$9:$BN$9,1),FALSE),0)+IFERROR(VLOOKUP($B23,'IA1-Final Void inc Ramps'!$A$11:$BN$18,MATCH(Summary!AA$1,'IA1-Final Void inc Ramps'!$A$9:$BN$9,1),FALSE),0)</f>
        <v>0</v>
      </c>
      <c r="AB23" s="47">
        <f>IFERROR(VLOOKUP($B23,'RA1- Elevated Dumps Upper'!$A$11:$BN$18,MATCH(Summary!AB$1,'RA1- Elevated Dumps Upper'!$A$9:$BN$9,1),FALSE),0)+IFERROR(VLOOKUP($B23,'RA2-Elevated Dumps Slopes'!$A$11:$BN$18,MATCH(Summary!AB$1,'RA2-Elevated Dumps Slopes'!$A$9:$BN$9,1),FALSE),0)+IFERROR(VLOOKUP($B23,'RA3-Backfilled Pits'!$A$11:$BN$18,MATCH(Summary!AB$1,'RA3-Backfilled Pits'!$A$9:$BN$9,1),FALSE),0)+IFERROR(VLOOKUP($B23,'RA4-Tracks_Roads'!$A$11:$BN$18,MATCH(Summary!AB$1,'RA4-Tracks_Roads'!$A$9:$BN$9,1),FALSE),0)+IFERROR(VLOOKUP($B23,'RA5-ROM'!$A$11:$BN$18,MATCH(Summary!AB$1,'RA5-ROM'!$A$9:$BN$9,1),FALSE),0)+IFERROR(VLOOKUP($B23,'RA6-CHPP'!$A$11:$BN$18,MATCH(Summary!AB$1,'RA6-CHPP'!$A$9:$BN$9,1),FALSE),0)+IFERROR(VLOOKUP($B23,'RA7-Mine Infrastructure Area'!$A$11:$BN$18,MATCH(Summary!AB$1,'RA7-Mine Infrastructure Area'!$A$9:$BN$9,1),FALSE),0)+IFERROR(VLOOKUP($B23,'RA8-Water Management Structures'!$A$11:$BN$18,MATCH(Summary!AB$1,'RA8-Water Management Structures'!$A$9:$BN$9,1),FALSE),0)+IFERROR(VLOOKUP($B23,'RA9-Codisposal Upper'!$A$11:$BN$18,MATCH(Summary!AB$1,'RA9-Codisposal Upper'!$A$9:$BN$9,1),FALSE),0)+IFERROR(VLOOKUP($B23,'RA10-Codisposal Slopes'!$A$11:$BN$18,MATCH(Summary!AB$1,'RA10-Codisposal Slopes'!$A$9:$BN$9,1),FALSE),0)+IFERROR(VLOOKUP($B23,'IA1-Final Void inc Ramps'!$A$11:$BN$18,MATCH(Summary!AB$1,'IA1-Final Void inc Ramps'!$A$9:$BN$9,1),FALSE),0)</f>
        <v>0</v>
      </c>
      <c r="AC23" s="47">
        <f>IFERROR(VLOOKUP($B23,'RA1- Elevated Dumps Upper'!$A$11:$BN$18,MATCH(Summary!AC$1,'RA1- Elevated Dumps Upper'!$A$9:$BN$9,1),FALSE),0)+IFERROR(VLOOKUP($B23,'RA2-Elevated Dumps Slopes'!$A$11:$BN$18,MATCH(Summary!AC$1,'RA2-Elevated Dumps Slopes'!$A$9:$BN$9,1),FALSE),0)+IFERROR(VLOOKUP($B23,'RA3-Backfilled Pits'!$A$11:$BN$18,MATCH(Summary!AC$1,'RA3-Backfilled Pits'!$A$9:$BN$9,1),FALSE),0)+IFERROR(VLOOKUP($B23,'RA4-Tracks_Roads'!$A$11:$BN$18,MATCH(Summary!AC$1,'RA4-Tracks_Roads'!$A$9:$BN$9,1),FALSE),0)+IFERROR(VLOOKUP($B23,'RA5-ROM'!$A$11:$BN$18,MATCH(Summary!AC$1,'RA5-ROM'!$A$9:$BN$9,1),FALSE),0)+IFERROR(VLOOKUP($B23,'RA6-CHPP'!$A$11:$BN$18,MATCH(Summary!AC$1,'RA6-CHPP'!$A$9:$BN$9,1),FALSE),0)+IFERROR(VLOOKUP($B23,'RA7-Mine Infrastructure Area'!$A$11:$BN$18,MATCH(Summary!AC$1,'RA7-Mine Infrastructure Area'!$A$9:$BN$9,1),FALSE),0)+IFERROR(VLOOKUP($B23,'RA8-Water Management Structures'!$A$11:$BN$18,MATCH(Summary!AC$1,'RA8-Water Management Structures'!$A$9:$BN$9,1),FALSE),0)+IFERROR(VLOOKUP($B23,'RA9-Codisposal Upper'!$A$11:$BN$18,MATCH(Summary!AC$1,'RA9-Codisposal Upper'!$A$9:$BN$9,1),FALSE),0)+IFERROR(VLOOKUP($B23,'RA10-Codisposal Slopes'!$A$11:$BN$18,MATCH(Summary!AC$1,'RA10-Codisposal Slopes'!$A$9:$BN$9,1),FALSE),0)+IFERROR(VLOOKUP($B23,'IA1-Final Void inc Ramps'!$A$11:$BN$18,MATCH(Summary!AC$1,'IA1-Final Void inc Ramps'!$A$9:$BN$9,1),FALSE),0)</f>
        <v>0</v>
      </c>
      <c r="AD23" s="47">
        <f>IFERROR(VLOOKUP($B23,'RA1- Elevated Dumps Upper'!$A$11:$BN$18,MATCH(Summary!AD$1,'RA1- Elevated Dumps Upper'!$A$9:$BN$9,1),FALSE),0)+IFERROR(VLOOKUP($B23,'RA2-Elevated Dumps Slopes'!$A$11:$BN$18,MATCH(Summary!AD$1,'RA2-Elevated Dumps Slopes'!$A$9:$BN$9,1),FALSE),0)+IFERROR(VLOOKUP($B23,'RA3-Backfilled Pits'!$A$11:$BN$18,MATCH(Summary!AD$1,'RA3-Backfilled Pits'!$A$9:$BN$9,1),FALSE),0)+IFERROR(VLOOKUP($B23,'RA4-Tracks_Roads'!$A$11:$BN$18,MATCH(Summary!AD$1,'RA4-Tracks_Roads'!$A$9:$BN$9,1),FALSE),0)+IFERROR(VLOOKUP($B23,'RA5-ROM'!$A$11:$BN$18,MATCH(Summary!AD$1,'RA5-ROM'!$A$9:$BN$9,1),FALSE),0)+IFERROR(VLOOKUP($B23,'RA6-CHPP'!$A$11:$BN$18,MATCH(Summary!AD$1,'RA6-CHPP'!$A$9:$BN$9,1),FALSE),0)+IFERROR(VLOOKUP($B23,'RA7-Mine Infrastructure Area'!$A$11:$BN$18,MATCH(Summary!AD$1,'RA7-Mine Infrastructure Area'!$A$9:$BN$9,1),FALSE),0)+IFERROR(VLOOKUP($B23,'RA8-Water Management Structures'!$A$11:$BN$18,MATCH(Summary!AD$1,'RA8-Water Management Structures'!$A$9:$BN$9,1),FALSE),0)+IFERROR(VLOOKUP($B23,'RA9-Codisposal Upper'!$A$11:$BN$18,MATCH(Summary!AD$1,'RA9-Codisposal Upper'!$A$9:$BN$9,1),FALSE),0)+IFERROR(VLOOKUP($B23,'RA10-Codisposal Slopes'!$A$11:$BN$18,MATCH(Summary!AD$1,'RA10-Codisposal Slopes'!$A$9:$BN$9,1),FALSE),0)+IFERROR(VLOOKUP($B23,'IA1-Final Void inc Ramps'!$A$11:$BN$18,MATCH(Summary!AD$1,'IA1-Final Void inc Ramps'!$A$9:$BN$9,1),FALSE),0)</f>
        <v>0</v>
      </c>
      <c r="AE23" s="47">
        <f>IFERROR(VLOOKUP($B23,'RA1- Elevated Dumps Upper'!$A$11:$BN$18,MATCH(Summary!AE$1,'RA1- Elevated Dumps Upper'!$A$9:$BN$9,1),FALSE),0)+IFERROR(VLOOKUP($B23,'RA2-Elevated Dumps Slopes'!$A$11:$BN$18,MATCH(Summary!AE$1,'RA2-Elevated Dumps Slopes'!$A$9:$BN$9,1),FALSE),0)+IFERROR(VLOOKUP($B23,'RA3-Backfilled Pits'!$A$11:$BN$18,MATCH(Summary!AE$1,'RA3-Backfilled Pits'!$A$9:$BN$9,1),FALSE),0)+IFERROR(VLOOKUP($B23,'RA4-Tracks_Roads'!$A$11:$BN$18,MATCH(Summary!AE$1,'RA4-Tracks_Roads'!$A$9:$BN$9,1),FALSE),0)+IFERROR(VLOOKUP($B23,'RA5-ROM'!$A$11:$BN$18,MATCH(Summary!AE$1,'RA5-ROM'!$A$9:$BN$9,1),FALSE),0)+IFERROR(VLOOKUP($B23,'RA6-CHPP'!$A$11:$BN$18,MATCH(Summary!AE$1,'RA6-CHPP'!$A$9:$BN$9,1),FALSE),0)+IFERROR(VLOOKUP($B23,'RA7-Mine Infrastructure Area'!$A$11:$BN$18,MATCH(Summary!AE$1,'RA7-Mine Infrastructure Area'!$A$9:$BN$9,1),FALSE),0)+IFERROR(VLOOKUP($B23,'RA8-Water Management Structures'!$A$11:$BN$18,MATCH(Summary!AE$1,'RA8-Water Management Structures'!$A$9:$BN$9,1),FALSE),0)+IFERROR(VLOOKUP($B23,'RA9-Codisposal Upper'!$A$11:$BN$18,MATCH(Summary!AE$1,'RA9-Codisposal Upper'!$A$9:$BN$9,1),FALSE),0)+IFERROR(VLOOKUP($B23,'RA10-Codisposal Slopes'!$A$11:$BN$18,MATCH(Summary!AE$1,'RA10-Codisposal Slopes'!$A$9:$BN$9,1),FALSE),0)+IFERROR(VLOOKUP($B23,'IA1-Final Void inc Ramps'!$A$11:$BN$18,MATCH(Summary!AE$1,'IA1-Final Void inc Ramps'!$A$9:$BN$9,1),FALSE),0)</f>
        <v>171.56</v>
      </c>
      <c r="AF23" s="47">
        <f>IFERROR(VLOOKUP($B23,'RA1- Elevated Dumps Upper'!$A$11:$BN$18,MATCH(Summary!AF$1,'RA1- Elevated Dumps Upper'!$A$9:$BN$9,1),FALSE),0)+IFERROR(VLOOKUP($B23,'RA2-Elevated Dumps Slopes'!$A$11:$BN$18,MATCH(Summary!AF$1,'RA2-Elevated Dumps Slopes'!$A$9:$BN$9,1),FALSE),0)+IFERROR(VLOOKUP($B23,'RA3-Backfilled Pits'!$A$11:$BN$18,MATCH(Summary!AF$1,'RA3-Backfilled Pits'!$A$9:$BN$9,1),FALSE),0)+IFERROR(VLOOKUP($B23,'RA4-Tracks_Roads'!$A$11:$BN$18,MATCH(Summary!AF$1,'RA4-Tracks_Roads'!$A$9:$BN$9,1),FALSE),0)+IFERROR(VLOOKUP($B23,'RA5-ROM'!$A$11:$BN$18,MATCH(Summary!AF$1,'RA5-ROM'!$A$9:$BN$9,1),FALSE),0)+IFERROR(VLOOKUP($B23,'RA6-CHPP'!$A$11:$BN$18,MATCH(Summary!AF$1,'RA6-CHPP'!$A$9:$BN$9,1),FALSE),0)+IFERROR(VLOOKUP($B23,'RA7-Mine Infrastructure Area'!$A$11:$BN$18,MATCH(Summary!AF$1,'RA7-Mine Infrastructure Area'!$A$9:$BN$9,1),FALSE),0)+IFERROR(VLOOKUP($B23,'RA8-Water Management Structures'!$A$11:$BN$18,MATCH(Summary!AF$1,'RA8-Water Management Structures'!$A$9:$BN$9,1),FALSE),0)+IFERROR(VLOOKUP($B23,'RA9-Codisposal Upper'!$A$11:$BN$18,MATCH(Summary!AF$1,'RA9-Codisposal Upper'!$A$9:$BN$9,1),FALSE),0)+IFERROR(VLOOKUP($B23,'RA10-Codisposal Slopes'!$A$11:$BN$18,MATCH(Summary!AF$1,'RA10-Codisposal Slopes'!$A$9:$BN$9,1),FALSE),0)+IFERROR(VLOOKUP($B23,'IA1-Final Void inc Ramps'!$A$11:$BN$18,MATCH(Summary!AF$1,'IA1-Final Void inc Ramps'!$A$9:$BN$9,1),FALSE),0)</f>
        <v>171.56</v>
      </c>
      <c r="AG23" s="47">
        <f>IFERROR(VLOOKUP($B23,'RA1- Elevated Dumps Upper'!$A$11:$BN$18,MATCH(Summary!AG$1,'RA1- Elevated Dumps Upper'!$A$9:$BN$9,1),FALSE),0)+IFERROR(VLOOKUP($B23,'RA2-Elevated Dumps Slopes'!$A$11:$BN$18,MATCH(Summary!AG$1,'RA2-Elevated Dumps Slopes'!$A$9:$BN$9,1),FALSE),0)+IFERROR(VLOOKUP($B23,'RA3-Backfilled Pits'!$A$11:$BN$18,MATCH(Summary!AG$1,'RA3-Backfilled Pits'!$A$9:$BN$9,1),FALSE),0)+IFERROR(VLOOKUP($B23,'RA4-Tracks_Roads'!$A$11:$BN$18,MATCH(Summary!AG$1,'RA4-Tracks_Roads'!$A$9:$BN$9,1),FALSE),0)+IFERROR(VLOOKUP($B23,'RA5-ROM'!$A$11:$BN$18,MATCH(Summary!AG$1,'RA5-ROM'!$A$9:$BN$9,1),FALSE),0)+IFERROR(VLOOKUP($B23,'RA6-CHPP'!$A$11:$BN$18,MATCH(Summary!AG$1,'RA6-CHPP'!$A$9:$BN$9,1),FALSE),0)+IFERROR(VLOOKUP($B23,'RA7-Mine Infrastructure Area'!$A$11:$BN$18,MATCH(Summary!AG$1,'RA7-Mine Infrastructure Area'!$A$9:$BN$9,1),FALSE),0)+IFERROR(VLOOKUP($B23,'RA8-Water Management Structures'!$A$11:$BN$18,MATCH(Summary!AG$1,'RA8-Water Management Structures'!$A$9:$BN$9,1),FALSE),0)+IFERROR(VLOOKUP($B23,'RA9-Codisposal Upper'!$A$11:$BN$18,MATCH(Summary!AG$1,'RA9-Codisposal Upper'!$A$9:$BN$9,1),FALSE),0)+IFERROR(VLOOKUP($B23,'RA10-Codisposal Slopes'!$A$11:$BN$18,MATCH(Summary!AG$1,'RA10-Codisposal Slopes'!$A$9:$BN$9,1),FALSE),0)+IFERROR(VLOOKUP($B23,'IA1-Final Void inc Ramps'!$A$11:$BN$18,MATCH(Summary!AG$1,'IA1-Final Void inc Ramps'!$A$9:$BN$9,1),FALSE),0)</f>
        <v>171.56</v>
      </c>
      <c r="AH23" s="47">
        <f>IFERROR(VLOOKUP($B23,'RA1- Elevated Dumps Upper'!$A$11:$BN$18,MATCH(Summary!AH$1,'RA1- Elevated Dumps Upper'!$A$9:$BN$9,1),FALSE),0)+IFERROR(VLOOKUP($B23,'RA2-Elevated Dumps Slopes'!$A$11:$BN$18,MATCH(Summary!AH$1,'RA2-Elevated Dumps Slopes'!$A$9:$BN$9,1),FALSE),0)+IFERROR(VLOOKUP($B23,'RA3-Backfilled Pits'!$A$11:$BN$18,MATCH(Summary!AH$1,'RA3-Backfilled Pits'!$A$9:$BN$9,1),FALSE),0)+IFERROR(VLOOKUP($B23,'RA4-Tracks_Roads'!$A$11:$BN$18,MATCH(Summary!AH$1,'RA4-Tracks_Roads'!$A$9:$BN$9,1),FALSE),0)+IFERROR(VLOOKUP($B23,'RA5-ROM'!$A$11:$BN$18,MATCH(Summary!AH$1,'RA5-ROM'!$A$9:$BN$9,1),FALSE),0)+IFERROR(VLOOKUP($B23,'RA6-CHPP'!$A$11:$BN$18,MATCH(Summary!AH$1,'RA6-CHPP'!$A$9:$BN$9,1),FALSE),0)+IFERROR(VLOOKUP($B23,'RA7-Mine Infrastructure Area'!$A$11:$BN$18,MATCH(Summary!AH$1,'RA7-Mine Infrastructure Area'!$A$9:$BN$9,1),FALSE),0)+IFERROR(VLOOKUP($B23,'RA8-Water Management Structures'!$A$11:$BN$18,MATCH(Summary!AH$1,'RA8-Water Management Structures'!$A$9:$BN$9,1),FALSE),0)+IFERROR(VLOOKUP($B23,'RA9-Codisposal Upper'!$A$11:$BN$18,MATCH(Summary!AH$1,'RA9-Codisposal Upper'!$A$9:$BN$9,1),FALSE),0)+IFERROR(VLOOKUP($B23,'RA10-Codisposal Slopes'!$A$11:$BN$18,MATCH(Summary!AH$1,'RA10-Codisposal Slopes'!$A$9:$BN$9,1),FALSE),0)+IFERROR(VLOOKUP($B23,'IA1-Final Void inc Ramps'!$A$11:$BN$18,MATCH(Summary!AH$1,'IA1-Final Void inc Ramps'!$A$9:$BN$9,1),FALSE),0)</f>
        <v>171.56</v>
      </c>
      <c r="AI23" s="47">
        <f>IFERROR(VLOOKUP($B23,'RA1- Elevated Dumps Upper'!$A$11:$BN$18,MATCH(Summary!AI$1,'RA1- Elevated Dumps Upper'!$A$9:$BN$9,1),FALSE),0)+IFERROR(VLOOKUP($B23,'RA2-Elevated Dumps Slopes'!$A$11:$BN$18,MATCH(Summary!AI$1,'RA2-Elevated Dumps Slopes'!$A$9:$BN$9,1),FALSE),0)+IFERROR(VLOOKUP($B23,'RA3-Backfilled Pits'!$A$11:$BN$18,MATCH(Summary!AI$1,'RA3-Backfilled Pits'!$A$9:$BN$9,1),FALSE),0)+IFERROR(VLOOKUP($B23,'RA4-Tracks_Roads'!$A$11:$BN$18,MATCH(Summary!AI$1,'RA4-Tracks_Roads'!$A$9:$BN$9,1),FALSE),0)+IFERROR(VLOOKUP($B23,'RA5-ROM'!$A$11:$BN$18,MATCH(Summary!AI$1,'RA5-ROM'!$A$9:$BN$9,1),FALSE),0)+IFERROR(VLOOKUP($B23,'RA6-CHPP'!$A$11:$BN$18,MATCH(Summary!AI$1,'RA6-CHPP'!$A$9:$BN$9,1),FALSE),0)+IFERROR(VLOOKUP($B23,'RA7-Mine Infrastructure Area'!$A$11:$BN$18,MATCH(Summary!AI$1,'RA7-Mine Infrastructure Area'!$A$9:$BN$9,1),FALSE),0)+IFERROR(VLOOKUP($B23,'RA8-Water Management Structures'!$A$11:$BN$18,MATCH(Summary!AI$1,'RA8-Water Management Structures'!$A$9:$BN$9,1),FALSE),0)+IFERROR(VLOOKUP($B23,'RA9-Codisposal Upper'!$A$11:$BN$18,MATCH(Summary!AI$1,'RA9-Codisposal Upper'!$A$9:$BN$9,1),FALSE),0)+IFERROR(VLOOKUP($B23,'RA10-Codisposal Slopes'!$A$11:$BN$18,MATCH(Summary!AI$1,'RA10-Codisposal Slopes'!$A$9:$BN$9,1),FALSE),0)+IFERROR(VLOOKUP($B23,'IA1-Final Void inc Ramps'!$A$11:$BN$18,MATCH(Summary!AI$1,'IA1-Final Void inc Ramps'!$A$9:$BN$9,1),FALSE),0)</f>
        <v>171.56</v>
      </c>
      <c r="AJ23" s="47">
        <f>IFERROR(VLOOKUP($B23,'RA1- Elevated Dumps Upper'!$A$11:$BN$18,MATCH(Summary!AJ$1,'RA1- Elevated Dumps Upper'!$A$9:$BN$9,1),FALSE),0)+IFERROR(VLOOKUP($B23,'RA2-Elevated Dumps Slopes'!$A$11:$BN$18,MATCH(Summary!AJ$1,'RA2-Elevated Dumps Slopes'!$A$9:$BN$9,1),FALSE),0)+IFERROR(VLOOKUP($B23,'RA3-Backfilled Pits'!$A$11:$BN$18,MATCH(Summary!AJ$1,'RA3-Backfilled Pits'!$A$9:$BN$9,1),FALSE),0)+IFERROR(VLOOKUP($B23,'RA4-Tracks_Roads'!$A$11:$BN$18,MATCH(Summary!AJ$1,'RA4-Tracks_Roads'!$A$9:$BN$9,1),FALSE),0)+IFERROR(VLOOKUP($B23,'RA5-ROM'!$A$11:$BN$18,MATCH(Summary!AJ$1,'RA5-ROM'!$A$9:$BN$9,1),FALSE),0)+IFERROR(VLOOKUP($B23,'RA6-CHPP'!$A$11:$BN$18,MATCH(Summary!AJ$1,'RA6-CHPP'!$A$9:$BN$9,1),FALSE),0)+IFERROR(VLOOKUP($B23,'RA7-Mine Infrastructure Area'!$A$11:$BN$18,MATCH(Summary!AJ$1,'RA7-Mine Infrastructure Area'!$A$9:$BN$9,1),FALSE),0)+IFERROR(VLOOKUP($B23,'RA8-Water Management Structures'!$A$11:$BN$18,MATCH(Summary!AJ$1,'RA8-Water Management Structures'!$A$9:$BN$9,1),FALSE),0)+IFERROR(VLOOKUP($B23,'RA9-Codisposal Upper'!$A$11:$BN$18,MATCH(Summary!AJ$1,'RA9-Codisposal Upper'!$A$9:$BN$9,1),FALSE),0)+IFERROR(VLOOKUP($B23,'RA10-Codisposal Slopes'!$A$11:$BN$18,MATCH(Summary!AJ$1,'RA10-Codisposal Slopes'!$A$9:$BN$9,1),FALSE),0)+IFERROR(VLOOKUP($B23,'IA1-Final Void inc Ramps'!$A$11:$BN$18,MATCH(Summary!AJ$1,'IA1-Final Void inc Ramps'!$A$9:$BN$9,1),FALSE),0)</f>
        <v>171.56</v>
      </c>
      <c r="AK23" s="47">
        <f>IFERROR(VLOOKUP($B23,'RA1- Elevated Dumps Upper'!$A$11:$BN$18,MATCH(Summary!AK$1,'RA1- Elevated Dumps Upper'!$A$9:$BN$9,1),FALSE),0)+IFERROR(VLOOKUP($B23,'RA2-Elevated Dumps Slopes'!$A$11:$BN$18,MATCH(Summary!AK$1,'RA2-Elevated Dumps Slopes'!$A$9:$BN$9,1),FALSE),0)+IFERROR(VLOOKUP($B23,'RA3-Backfilled Pits'!$A$11:$BN$18,MATCH(Summary!AK$1,'RA3-Backfilled Pits'!$A$9:$BN$9,1),FALSE),0)+IFERROR(VLOOKUP($B23,'RA4-Tracks_Roads'!$A$11:$BN$18,MATCH(Summary!AK$1,'RA4-Tracks_Roads'!$A$9:$BN$9,1),FALSE),0)+IFERROR(VLOOKUP($B23,'RA5-ROM'!$A$11:$BN$18,MATCH(Summary!AK$1,'RA5-ROM'!$A$9:$BN$9,1),FALSE),0)+IFERROR(VLOOKUP($B23,'RA6-CHPP'!$A$11:$BN$18,MATCH(Summary!AK$1,'RA6-CHPP'!$A$9:$BN$9,1),FALSE),0)+IFERROR(VLOOKUP($B23,'RA7-Mine Infrastructure Area'!$A$11:$BN$18,MATCH(Summary!AK$1,'RA7-Mine Infrastructure Area'!$A$9:$BN$9,1),FALSE),0)+IFERROR(VLOOKUP($B23,'RA8-Water Management Structures'!$A$11:$BN$18,MATCH(Summary!AK$1,'RA8-Water Management Structures'!$A$9:$BN$9,1),FALSE),0)+IFERROR(VLOOKUP($B23,'RA9-Codisposal Upper'!$A$11:$BN$18,MATCH(Summary!AK$1,'RA9-Codisposal Upper'!$A$9:$BN$9,1),FALSE),0)+IFERROR(VLOOKUP($B23,'RA10-Codisposal Slopes'!$A$11:$BN$18,MATCH(Summary!AK$1,'RA10-Codisposal Slopes'!$A$9:$BN$9,1),FALSE),0)+IFERROR(VLOOKUP($B23,'IA1-Final Void inc Ramps'!$A$11:$BN$18,MATCH(Summary!AK$1,'IA1-Final Void inc Ramps'!$A$9:$BN$9,1),FALSE),0)</f>
        <v>171.56</v>
      </c>
      <c r="AL23" s="47">
        <f>IFERROR(VLOOKUP($B23,'RA1- Elevated Dumps Upper'!$A$11:$BN$18,MATCH(Summary!AL$1,'RA1- Elevated Dumps Upper'!$A$9:$BN$9,1),FALSE),0)+IFERROR(VLOOKUP($B23,'RA2-Elevated Dumps Slopes'!$A$11:$BN$18,MATCH(Summary!AL$1,'RA2-Elevated Dumps Slopes'!$A$9:$BN$9,1),FALSE),0)+IFERROR(VLOOKUP($B23,'RA3-Backfilled Pits'!$A$11:$BN$18,MATCH(Summary!AL$1,'RA3-Backfilled Pits'!$A$9:$BN$9,1),FALSE),0)+IFERROR(VLOOKUP($B23,'RA4-Tracks_Roads'!$A$11:$BN$18,MATCH(Summary!AL$1,'RA4-Tracks_Roads'!$A$9:$BN$9,1),FALSE),0)+IFERROR(VLOOKUP($B23,'RA5-ROM'!$A$11:$BN$18,MATCH(Summary!AL$1,'RA5-ROM'!$A$9:$BN$9,1),FALSE),0)+IFERROR(VLOOKUP($B23,'RA6-CHPP'!$A$11:$BN$18,MATCH(Summary!AL$1,'RA6-CHPP'!$A$9:$BN$9,1),FALSE),0)+IFERROR(VLOOKUP($B23,'RA7-Mine Infrastructure Area'!$A$11:$BN$18,MATCH(Summary!AL$1,'RA7-Mine Infrastructure Area'!$A$9:$BN$9,1),FALSE),0)+IFERROR(VLOOKUP($B23,'RA8-Water Management Structures'!$A$11:$BN$18,MATCH(Summary!AL$1,'RA8-Water Management Structures'!$A$9:$BN$9,1),FALSE),0)+IFERROR(VLOOKUP($B23,'RA9-Codisposal Upper'!$A$11:$BN$18,MATCH(Summary!AL$1,'RA9-Codisposal Upper'!$A$9:$BN$9,1),FALSE),0)+IFERROR(VLOOKUP($B23,'RA10-Codisposal Slopes'!$A$11:$BN$18,MATCH(Summary!AL$1,'RA10-Codisposal Slopes'!$A$9:$BN$9,1),FALSE),0)+IFERROR(VLOOKUP($B23,'IA1-Final Void inc Ramps'!$A$11:$BN$18,MATCH(Summary!AL$1,'IA1-Final Void inc Ramps'!$A$9:$BN$9,1),FALSE),0)</f>
        <v>171.56</v>
      </c>
      <c r="AM23" s="47">
        <f>IFERROR(VLOOKUP($B23,'RA1- Elevated Dumps Upper'!$A$11:$BN$18,MATCH(Summary!AM$1,'RA1- Elevated Dumps Upper'!$A$9:$BN$9,1),FALSE),0)+IFERROR(VLOOKUP($B23,'RA2-Elevated Dumps Slopes'!$A$11:$BN$18,MATCH(Summary!AM$1,'RA2-Elevated Dumps Slopes'!$A$9:$BN$9,1),FALSE),0)+IFERROR(VLOOKUP($B23,'RA3-Backfilled Pits'!$A$11:$BN$18,MATCH(Summary!AM$1,'RA3-Backfilled Pits'!$A$9:$BN$9,1),FALSE),0)+IFERROR(VLOOKUP($B23,'RA4-Tracks_Roads'!$A$11:$BN$18,MATCH(Summary!AM$1,'RA4-Tracks_Roads'!$A$9:$BN$9,1),FALSE),0)+IFERROR(VLOOKUP($B23,'RA5-ROM'!$A$11:$BN$18,MATCH(Summary!AM$1,'RA5-ROM'!$A$9:$BN$9,1),FALSE),0)+IFERROR(VLOOKUP($B23,'RA6-CHPP'!$A$11:$BN$18,MATCH(Summary!AM$1,'RA6-CHPP'!$A$9:$BN$9,1),FALSE),0)+IFERROR(VLOOKUP($B23,'RA7-Mine Infrastructure Area'!$A$11:$BN$18,MATCH(Summary!AM$1,'RA7-Mine Infrastructure Area'!$A$9:$BN$9,1),FALSE),0)+IFERROR(VLOOKUP($B23,'RA8-Water Management Structures'!$A$11:$BN$18,MATCH(Summary!AM$1,'RA8-Water Management Structures'!$A$9:$BN$9,1),FALSE),0)+IFERROR(VLOOKUP($B23,'RA9-Codisposal Upper'!$A$11:$BN$18,MATCH(Summary!AM$1,'RA9-Codisposal Upper'!$A$9:$BN$9,1),FALSE),0)+IFERROR(VLOOKUP($B23,'RA10-Codisposal Slopes'!$A$11:$BN$18,MATCH(Summary!AM$1,'RA10-Codisposal Slopes'!$A$9:$BN$9,1),FALSE),0)+IFERROR(VLOOKUP($B23,'IA1-Final Void inc Ramps'!$A$11:$BN$18,MATCH(Summary!AM$1,'IA1-Final Void inc Ramps'!$A$9:$BN$9,1),FALSE),0)</f>
        <v>171.56</v>
      </c>
      <c r="AN23" s="47">
        <f>IFERROR(VLOOKUP($B23,'RA1- Elevated Dumps Upper'!$A$11:$BN$18,MATCH(Summary!AN$1,'RA1- Elevated Dumps Upper'!$A$9:$BN$9,1),FALSE),0)+IFERROR(VLOOKUP($B23,'RA2-Elevated Dumps Slopes'!$A$11:$BN$18,MATCH(Summary!AN$1,'RA2-Elevated Dumps Slopes'!$A$9:$BN$9,1),FALSE),0)+IFERROR(VLOOKUP($B23,'RA3-Backfilled Pits'!$A$11:$BN$18,MATCH(Summary!AN$1,'RA3-Backfilled Pits'!$A$9:$BN$9,1),FALSE),0)+IFERROR(VLOOKUP($B23,'RA4-Tracks_Roads'!$A$11:$BN$18,MATCH(Summary!AN$1,'RA4-Tracks_Roads'!$A$9:$BN$9,1),FALSE),0)+IFERROR(VLOOKUP($B23,'RA5-ROM'!$A$11:$BN$18,MATCH(Summary!AN$1,'RA5-ROM'!$A$9:$BN$9,1),FALSE),0)+IFERROR(VLOOKUP($B23,'RA6-CHPP'!$A$11:$BN$18,MATCH(Summary!AN$1,'RA6-CHPP'!$A$9:$BN$9,1),FALSE),0)+IFERROR(VLOOKUP($B23,'RA7-Mine Infrastructure Area'!$A$11:$BN$18,MATCH(Summary!AN$1,'RA7-Mine Infrastructure Area'!$A$9:$BN$9,1),FALSE),0)+IFERROR(VLOOKUP($B23,'RA8-Water Management Structures'!$A$11:$BN$18,MATCH(Summary!AN$1,'RA8-Water Management Structures'!$A$9:$BN$9,1),FALSE),0)+IFERROR(VLOOKUP($B23,'RA9-Codisposal Upper'!$A$11:$BN$18,MATCH(Summary!AN$1,'RA9-Codisposal Upper'!$A$9:$BN$9,1),FALSE),0)+IFERROR(VLOOKUP($B23,'RA10-Codisposal Slopes'!$A$11:$BN$18,MATCH(Summary!AN$1,'RA10-Codisposal Slopes'!$A$9:$BN$9,1),FALSE),0)+IFERROR(VLOOKUP($B23,'IA1-Final Void inc Ramps'!$A$11:$BN$18,MATCH(Summary!AN$1,'IA1-Final Void inc Ramps'!$A$9:$BN$9,1),FALSE),0)</f>
        <v>171.56</v>
      </c>
      <c r="AO23" s="47">
        <f>IFERROR(VLOOKUP($B23,'RA1- Elevated Dumps Upper'!$A$11:$BN$18,MATCH(Summary!AO$1,'RA1- Elevated Dumps Upper'!$A$9:$BN$9,1),FALSE),0)+IFERROR(VLOOKUP($B23,'RA2-Elevated Dumps Slopes'!$A$11:$BN$18,MATCH(Summary!AO$1,'RA2-Elevated Dumps Slopes'!$A$9:$BN$9,1),FALSE),0)+IFERROR(VLOOKUP($B23,'RA3-Backfilled Pits'!$A$11:$BN$18,MATCH(Summary!AO$1,'RA3-Backfilled Pits'!$A$9:$BN$9,1),FALSE),0)+IFERROR(VLOOKUP($B23,'RA4-Tracks_Roads'!$A$11:$BN$18,MATCH(Summary!AO$1,'RA4-Tracks_Roads'!$A$9:$BN$9,1),FALSE),0)+IFERROR(VLOOKUP($B23,'RA5-ROM'!$A$11:$BN$18,MATCH(Summary!AO$1,'RA5-ROM'!$A$9:$BN$9,1),FALSE),0)+IFERROR(VLOOKUP($B23,'RA6-CHPP'!$A$11:$BN$18,MATCH(Summary!AO$1,'RA6-CHPP'!$A$9:$BN$9,1),FALSE),0)+IFERROR(VLOOKUP($B23,'RA7-Mine Infrastructure Area'!$A$11:$BN$18,MATCH(Summary!AO$1,'RA7-Mine Infrastructure Area'!$A$9:$BN$9,1),FALSE),0)+IFERROR(VLOOKUP($B23,'RA8-Water Management Structures'!$A$11:$BN$18,MATCH(Summary!AO$1,'RA8-Water Management Structures'!$A$9:$BN$9,1),FALSE),0)+IFERROR(VLOOKUP($B23,'RA9-Codisposal Upper'!$A$11:$BN$18,MATCH(Summary!AO$1,'RA9-Codisposal Upper'!$A$9:$BN$9,1),FALSE),0)+IFERROR(VLOOKUP($B23,'RA10-Codisposal Slopes'!$A$11:$BN$18,MATCH(Summary!AO$1,'RA10-Codisposal Slopes'!$A$9:$BN$9,1),FALSE),0)+IFERROR(VLOOKUP($B23,'IA1-Final Void inc Ramps'!$A$11:$BN$18,MATCH(Summary!AO$1,'IA1-Final Void inc Ramps'!$A$9:$BN$9,1),FALSE),0)</f>
        <v>171.56</v>
      </c>
      <c r="AP23" s="47">
        <f>IFERROR(VLOOKUP($B23,'RA1- Elevated Dumps Upper'!$A$11:$BN$18,MATCH(Summary!AP$1,'RA1- Elevated Dumps Upper'!$A$9:$BN$9,1),FALSE),0)+IFERROR(VLOOKUP($B23,'RA2-Elevated Dumps Slopes'!$A$11:$BN$18,MATCH(Summary!AP$1,'RA2-Elevated Dumps Slopes'!$A$9:$BN$9,1),FALSE),0)+IFERROR(VLOOKUP($B23,'RA3-Backfilled Pits'!$A$11:$BN$18,MATCH(Summary!AP$1,'RA3-Backfilled Pits'!$A$9:$BN$9,1),FALSE),0)+IFERROR(VLOOKUP($B23,'RA4-Tracks_Roads'!$A$11:$BN$18,MATCH(Summary!AP$1,'RA4-Tracks_Roads'!$A$9:$BN$9,1),FALSE),0)+IFERROR(VLOOKUP($B23,'RA5-ROM'!$A$11:$BN$18,MATCH(Summary!AP$1,'RA5-ROM'!$A$9:$BN$9,1),FALSE),0)+IFERROR(VLOOKUP($B23,'RA6-CHPP'!$A$11:$BN$18,MATCH(Summary!AP$1,'RA6-CHPP'!$A$9:$BN$9,1),FALSE),0)+IFERROR(VLOOKUP($B23,'RA7-Mine Infrastructure Area'!$A$11:$BN$18,MATCH(Summary!AP$1,'RA7-Mine Infrastructure Area'!$A$9:$BN$9,1),FALSE),0)+IFERROR(VLOOKUP($B23,'RA8-Water Management Structures'!$A$11:$BN$18,MATCH(Summary!AP$1,'RA8-Water Management Structures'!$A$9:$BN$9,1),FALSE),0)+IFERROR(VLOOKUP($B23,'RA9-Codisposal Upper'!$A$11:$BN$18,MATCH(Summary!AP$1,'RA9-Codisposal Upper'!$A$9:$BN$9,1),FALSE),0)+IFERROR(VLOOKUP($B23,'RA10-Codisposal Slopes'!$A$11:$BN$18,MATCH(Summary!AP$1,'RA10-Codisposal Slopes'!$A$9:$BN$9,1),FALSE),0)+IFERROR(VLOOKUP($B23,'IA1-Final Void inc Ramps'!$A$11:$BN$18,MATCH(Summary!AP$1,'IA1-Final Void inc Ramps'!$A$9:$BN$9,1),FALSE),0)</f>
        <v>171.56</v>
      </c>
      <c r="AQ23" s="47">
        <f>IFERROR(VLOOKUP($B23,'RA1- Elevated Dumps Upper'!$A$11:$BN$18,MATCH(Summary!AQ$1,'RA1- Elevated Dumps Upper'!$A$9:$BN$9,1),FALSE),0)+IFERROR(VLOOKUP($B23,'RA2-Elevated Dumps Slopes'!$A$11:$BN$18,MATCH(Summary!AQ$1,'RA2-Elevated Dumps Slopes'!$A$9:$BN$9,1),FALSE),0)+IFERROR(VLOOKUP($B23,'RA3-Backfilled Pits'!$A$11:$BN$18,MATCH(Summary!AQ$1,'RA3-Backfilled Pits'!$A$9:$BN$9,1),FALSE),0)+IFERROR(VLOOKUP($B23,'RA4-Tracks_Roads'!$A$11:$BN$18,MATCH(Summary!AQ$1,'RA4-Tracks_Roads'!$A$9:$BN$9,1),FALSE),0)+IFERROR(VLOOKUP($B23,'RA5-ROM'!$A$11:$BN$18,MATCH(Summary!AQ$1,'RA5-ROM'!$A$9:$BN$9,1),FALSE),0)+IFERROR(VLOOKUP($B23,'RA6-CHPP'!$A$11:$BN$18,MATCH(Summary!AQ$1,'RA6-CHPP'!$A$9:$BN$9,1),FALSE),0)+IFERROR(VLOOKUP($B23,'RA7-Mine Infrastructure Area'!$A$11:$BN$18,MATCH(Summary!AQ$1,'RA7-Mine Infrastructure Area'!$A$9:$BN$9,1),FALSE),0)+IFERROR(VLOOKUP($B23,'RA8-Water Management Structures'!$A$11:$BN$18,MATCH(Summary!AQ$1,'RA8-Water Management Structures'!$A$9:$BN$9,1),FALSE),0)+IFERROR(VLOOKUP($B23,'RA9-Codisposal Upper'!$A$11:$BN$18,MATCH(Summary!AQ$1,'RA9-Codisposal Upper'!$A$9:$BN$9,1),FALSE),0)+IFERROR(VLOOKUP($B23,'RA10-Codisposal Slopes'!$A$11:$BN$18,MATCH(Summary!AQ$1,'RA10-Codisposal Slopes'!$A$9:$BN$9,1),FALSE),0)+IFERROR(VLOOKUP($B23,'IA1-Final Void inc Ramps'!$A$11:$BN$18,MATCH(Summary!AQ$1,'IA1-Final Void inc Ramps'!$A$9:$BN$9,1),FALSE),0)</f>
        <v>171.56</v>
      </c>
      <c r="AR23" s="47">
        <f>IFERROR(VLOOKUP($B23,'RA1- Elevated Dumps Upper'!$A$11:$BN$18,MATCH(Summary!AR$1,'RA1- Elevated Dumps Upper'!$A$9:$BN$9,1),FALSE),0)+IFERROR(VLOOKUP($B23,'RA2-Elevated Dumps Slopes'!$A$11:$BN$18,MATCH(Summary!AR$1,'RA2-Elevated Dumps Slopes'!$A$9:$BN$9,1),FALSE),0)+IFERROR(VLOOKUP($B23,'RA3-Backfilled Pits'!$A$11:$BN$18,MATCH(Summary!AR$1,'RA3-Backfilled Pits'!$A$9:$BN$9,1),FALSE),0)+IFERROR(VLOOKUP($B23,'RA4-Tracks_Roads'!$A$11:$BN$18,MATCH(Summary!AR$1,'RA4-Tracks_Roads'!$A$9:$BN$9,1),FALSE),0)+IFERROR(VLOOKUP($B23,'RA5-ROM'!$A$11:$BN$18,MATCH(Summary!AR$1,'RA5-ROM'!$A$9:$BN$9,1),FALSE),0)+IFERROR(VLOOKUP($B23,'RA6-CHPP'!$A$11:$BN$18,MATCH(Summary!AR$1,'RA6-CHPP'!$A$9:$BN$9,1),FALSE),0)+IFERROR(VLOOKUP($B23,'RA7-Mine Infrastructure Area'!$A$11:$BN$18,MATCH(Summary!AR$1,'RA7-Mine Infrastructure Area'!$A$9:$BN$9,1),FALSE),0)+IFERROR(VLOOKUP($B23,'RA8-Water Management Structures'!$A$11:$BN$18,MATCH(Summary!AR$1,'RA8-Water Management Structures'!$A$9:$BN$9,1),FALSE),0)+IFERROR(VLOOKUP($B23,'RA9-Codisposal Upper'!$A$11:$BN$18,MATCH(Summary!AR$1,'RA9-Codisposal Upper'!$A$9:$BN$9,1),FALSE),0)+IFERROR(VLOOKUP($B23,'RA10-Codisposal Slopes'!$A$11:$BN$18,MATCH(Summary!AR$1,'RA10-Codisposal Slopes'!$A$9:$BN$9,1),FALSE),0)+IFERROR(VLOOKUP($B23,'IA1-Final Void inc Ramps'!$A$11:$BN$18,MATCH(Summary!AR$1,'IA1-Final Void inc Ramps'!$A$9:$BN$9,1),FALSE),0)</f>
        <v>171.56</v>
      </c>
      <c r="AS23" s="47">
        <f>IFERROR(VLOOKUP($B23,'RA1- Elevated Dumps Upper'!$A$11:$BN$18,MATCH(Summary!AS$1,'RA1- Elevated Dumps Upper'!$A$9:$BN$9,1),FALSE),0)+IFERROR(VLOOKUP($B23,'RA2-Elevated Dumps Slopes'!$A$11:$BN$18,MATCH(Summary!AS$1,'RA2-Elevated Dumps Slopes'!$A$9:$BN$9,1),FALSE),0)+IFERROR(VLOOKUP($B23,'RA3-Backfilled Pits'!$A$11:$BN$18,MATCH(Summary!AS$1,'RA3-Backfilled Pits'!$A$9:$BN$9,1),FALSE),0)+IFERROR(VLOOKUP($B23,'RA4-Tracks_Roads'!$A$11:$BN$18,MATCH(Summary!AS$1,'RA4-Tracks_Roads'!$A$9:$BN$9,1),FALSE),0)+IFERROR(VLOOKUP($B23,'RA5-ROM'!$A$11:$BN$18,MATCH(Summary!AS$1,'RA5-ROM'!$A$9:$BN$9,1),FALSE),0)+IFERROR(VLOOKUP($B23,'RA6-CHPP'!$A$11:$BN$18,MATCH(Summary!AS$1,'RA6-CHPP'!$A$9:$BN$9,1),FALSE),0)+IFERROR(VLOOKUP($B23,'RA7-Mine Infrastructure Area'!$A$11:$BN$18,MATCH(Summary!AS$1,'RA7-Mine Infrastructure Area'!$A$9:$BN$9,1),FALSE),0)+IFERROR(VLOOKUP($B23,'RA8-Water Management Structures'!$A$11:$BN$18,MATCH(Summary!AS$1,'RA8-Water Management Structures'!$A$9:$BN$9,1),FALSE),0)+IFERROR(VLOOKUP($B23,'RA9-Codisposal Upper'!$A$11:$BN$18,MATCH(Summary!AS$1,'RA9-Codisposal Upper'!$A$9:$BN$9,1),FALSE),0)+IFERROR(VLOOKUP($B23,'RA10-Codisposal Slopes'!$A$11:$BN$18,MATCH(Summary!AS$1,'RA10-Codisposal Slopes'!$A$9:$BN$9,1),FALSE),0)+IFERROR(VLOOKUP($B23,'IA1-Final Void inc Ramps'!$A$11:$BN$18,MATCH(Summary!AS$1,'IA1-Final Void inc Ramps'!$A$9:$BN$9,1),FALSE),0)</f>
        <v>171.56</v>
      </c>
      <c r="AT23" s="47">
        <f>IFERROR(VLOOKUP($B23,'RA1- Elevated Dumps Upper'!$A$11:$BN$18,MATCH(Summary!AT$1,'RA1- Elevated Dumps Upper'!$A$9:$BN$9,1),FALSE),0)+IFERROR(VLOOKUP($B23,'RA2-Elevated Dumps Slopes'!$A$11:$BN$18,MATCH(Summary!AT$1,'RA2-Elevated Dumps Slopes'!$A$9:$BN$9,1),FALSE),0)+IFERROR(VLOOKUP($B23,'RA3-Backfilled Pits'!$A$11:$BN$18,MATCH(Summary!AT$1,'RA3-Backfilled Pits'!$A$9:$BN$9,1),FALSE),0)+IFERROR(VLOOKUP($B23,'RA4-Tracks_Roads'!$A$11:$BN$18,MATCH(Summary!AT$1,'RA4-Tracks_Roads'!$A$9:$BN$9,1),FALSE),0)+IFERROR(VLOOKUP($B23,'RA5-ROM'!$A$11:$BN$18,MATCH(Summary!AT$1,'RA5-ROM'!$A$9:$BN$9,1),FALSE),0)+IFERROR(VLOOKUP($B23,'RA6-CHPP'!$A$11:$BN$18,MATCH(Summary!AT$1,'RA6-CHPP'!$A$9:$BN$9,1),FALSE),0)+IFERROR(VLOOKUP($B23,'RA7-Mine Infrastructure Area'!$A$11:$BN$18,MATCH(Summary!AT$1,'RA7-Mine Infrastructure Area'!$A$9:$BN$9,1),FALSE),0)+IFERROR(VLOOKUP($B23,'RA8-Water Management Structures'!$A$11:$BN$18,MATCH(Summary!AT$1,'RA8-Water Management Structures'!$A$9:$BN$9,1),FALSE),0)+IFERROR(VLOOKUP($B23,'RA9-Codisposal Upper'!$A$11:$BN$18,MATCH(Summary!AT$1,'RA9-Codisposal Upper'!$A$9:$BN$9,1),FALSE),0)+IFERROR(VLOOKUP($B23,'RA10-Codisposal Slopes'!$A$11:$BN$18,MATCH(Summary!AT$1,'RA10-Codisposal Slopes'!$A$9:$BN$9,1),FALSE),0)+IFERROR(VLOOKUP($B23,'IA1-Final Void inc Ramps'!$A$11:$BN$18,MATCH(Summary!AT$1,'IA1-Final Void inc Ramps'!$A$9:$BN$9,1),FALSE),0)</f>
        <v>171.56</v>
      </c>
      <c r="AU23" s="47">
        <f>IFERROR(VLOOKUP($B23,'RA1- Elevated Dumps Upper'!$A$11:$BN$18,MATCH(Summary!AU$1,'RA1- Elevated Dumps Upper'!$A$9:$BN$9,1),FALSE),0)+IFERROR(VLOOKUP($B23,'RA2-Elevated Dumps Slopes'!$A$11:$BN$18,MATCH(Summary!AU$1,'RA2-Elevated Dumps Slopes'!$A$9:$BN$9,1),FALSE),0)+IFERROR(VLOOKUP($B23,'RA3-Backfilled Pits'!$A$11:$BN$18,MATCH(Summary!AU$1,'RA3-Backfilled Pits'!$A$9:$BN$9,1),FALSE),0)+IFERROR(VLOOKUP($B23,'RA4-Tracks_Roads'!$A$11:$BN$18,MATCH(Summary!AU$1,'RA4-Tracks_Roads'!$A$9:$BN$9,1),FALSE),0)+IFERROR(VLOOKUP($B23,'RA5-ROM'!$A$11:$BN$18,MATCH(Summary!AU$1,'RA5-ROM'!$A$9:$BN$9,1),FALSE),0)+IFERROR(VLOOKUP($B23,'RA6-CHPP'!$A$11:$BN$18,MATCH(Summary!AU$1,'RA6-CHPP'!$A$9:$BN$9,1),FALSE),0)+IFERROR(VLOOKUP($B23,'RA7-Mine Infrastructure Area'!$A$11:$BN$18,MATCH(Summary!AU$1,'RA7-Mine Infrastructure Area'!$A$9:$BN$9,1),FALSE),0)+IFERROR(VLOOKUP($B23,'RA8-Water Management Structures'!$A$11:$BN$18,MATCH(Summary!AU$1,'RA8-Water Management Structures'!$A$9:$BN$9,1),FALSE),0)+IFERROR(VLOOKUP($B23,'RA9-Codisposal Upper'!$A$11:$BN$18,MATCH(Summary!AU$1,'RA9-Codisposal Upper'!$A$9:$BN$9,1),FALSE),0)+IFERROR(VLOOKUP($B23,'RA10-Codisposal Slopes'!$A$11:$BN$18,MATCH(Summary!AU$1,'RA10-Codisposal Slopes'!$A$9:$BN$9,1),FALSE),0)+IFERROR(VLOOKUP($B23,'IA1-Final Void inc Ramps'!$A$11:$BN$18,MATCH(Summary!AU$1,'IA1-Final Void inc Ramps'!$A$9:$BN$9,1),FALSE),0)</f>
        <v>171.56</v>
      </c>
      <c r="AV23" s="47">
        <f>IFERROR(VLOOKUP($B23,'RA1- Elevated Dumps Upper'!$A$11:$BN$18,MATCH(Summary!AV$1,'RA1- Elevated Dumps Upper'!$A$9:$BN$9,1),FALSE),0)+IFERROR(VLOOKUP($B23,'RA2-Elevated Dumps Slopes'!$A$11:$BN$18,MATCH(Summary!AV$1,'RA2-Elevated Dumps Slopes'!$A$9:$BN$9,1),FALSE),0)+IFERROR(VLOOKUP($B23,'RA3-Backfilled Pits'!$A$11:$BN$18,MATCH(Summary!AV$1,'RA3-Backfilled Pits'!$A$9:$BN$9,1),FALSE),0)+IFERROR(VLOOKUP($B23,'RA4-Tracks_Roads'!$A$11:$BN$18,MATCH(Summary!AV$1,'RA4-Tracks_Roads'!$A$9:$BN$9,1),FALSE),0)+IFERROR(VLOOKUP($B23,'RA5-ROM'!$A$11:$BN$18,MATCH(Summary!AV$1,'RA5-ROM'!$A$9:$BN$9,1),FALSE),0)+IFERROR(VLOOKUP($B23,'RA6-CHPP'!$A$11:$BN$18,MATCH(Summary!AV$1,'RA6-CHPP'!$A$9:$BN$9,1),FALSE),0)+IFERROR(VLOOKUP($B23,'RA7-Mine Infrastructure Area'!$A$11:$BN$18,MATCH(Summary!AV$1,'RA7-Mine Infrastructure Area'!$A$9:$BN$9,1),FALSE),0)+IFERROR(VLOOKUP($B23,'RA8-Water Management Structures'!$A$11:$BN$18,MATCH(Summary!AV$1,'RA8-Water Management Structures'!$A$9:$BN$9,1),FALSE),0)+IFERROR(VLOOKUP($B23,'RA9-Codisposal Upper'!$A$11:$BN$18,MATCH(Summary!AV$1,'RA9-Codisposal Upper'!$A$9:$BN$9,1),FALSE),0)+IFERROR(VLOOKUP($B23,'RA10-Codisposal Slopes'!$A$11:$BN$18,MATCH(Summary!AV$1,'RA10-Codisposal Slopes'!$A$9:$BN$9,1),FALSE),0)+IFERROR(VLOOKUP($B23,'IA1-Final Void inc Ramps'!$A$11:$BN$18,MATCH(Summary!AV$1,'IA1-Final Void inc Ramps'!$A$9:$BN$9,1),FALSE),0)</f>
        <v>171.56</v>
      </c>
      <c r="AW23" s="47">
        <f>IFERROR(VLOOKUP($B23,'RA1- Elevated Dumps Upper'!$A$11:$BN$18,MATCH(Summary!AW$1,'RA1- Elevated Dumps Upper'!$A$9:$BN$9,1),FALSE),0)+IFERROR(VLOOKUP($B23,'RA2-Elevated Dumps Slopes'!$A$11:$BN$18,MATCH(Summary!AW$1,'RA2-Elevated Dumps Slopes'!$A$9:$BN$9,1),FALSE),0)+IFERROR(VLOOKUP($B23,'RA3-Backfilled Pits'!$A$11:$BN$18,MATCH(Summary!AW$1,'RA3-Backfilled Pits'!$A$9:$BN$9,1),FALSE),0)+IFERROR(VLOOKUP($B23,'RA4-Tracks_Roads'!$A$11:$BN$18,MATCH(Summary!AW$1,'RA4-Tracks_Roads'!$A$9:$BN$9,1),FALSE),0)+IFERROR(VLOOKUP($B23,'RA5-ROM'!$A$11:$BN$18,MATCH(Summary!AW$1,'RA5-ROM'!$A$9:$BN$9,1),FALSE),0)+IFERROR(VLOOKUP($B23,'RA6-CHPP'!$A$11:$BN$18,MATCH(Summary!AW$1,'RA6-CHPP'!$A$9:$BN$9,1),FALSE),0)+IFERROR(VLOOKUP($B23,'RA7-Mine Infrastructure Area'!$A$11:$BN$18,MATCH(Summary!AW$1,'RA7-Mine Infrastructure Area'!$A$9:$BN$9,1),FALSE),0)+IFERROR(VLOOKUP($B23,'RA8-Water Management Structures'!$A$11:$BN$18,MATCH(Summary!AW$1,'RA8-Water Management Structures'!$A$9:$BN$9,1),FALSE),0)+IFERROR(VLOOKUP($B23,'RA9-Codisposal Upper'!$A$11:$BN$18,MATCH(Summary!AW$1,'RA9-Codisposal Upper'!$A$9:$BN$9,1),FALSE),0)+IFERROR(VLOOKUP($B23,'RA10-Codisposal Slopes'!$A$11:$BN$18,MATCH(Summary!AW$1,'RA10-Codisposal Slopes'!$A$9:$BN$9,1),FALSE),0)+IFERROR(VLOOKUP($B23,'IA1-Final Void inc Ramps'!$A$11:$BN$18,MATCH(Summary!AW$1,'IA1-Final Void inc Ramps'!$A$9:$BN$9,1),FALSE),0)</f>
        <v>171.56</v>
      </c>
      <c r="AX23" s="47">
        <f>IFERROR(VLOOKUP($B23,'RA1- Elevated Dumps Upper'!$A$11:$BN$18,MATCH(Summary!AX$1,'RA1- Elevated Dumps Upper'!$A$9:$BN$9,1),FALSE),0)+IFERROR(VLOOKUP($B23,'RA2-Elevated Dumps Slopes'!$A$11:$BN$18,MATCH(Summary!AX$1,'RA2-Elevated Dumps Slopes'!$A$9:$BN$9,1),FALSE),0)+IFERROR(VLOOKUP($B23,'RA3-Backfilled Pits'!$A$11:$BN$18,MATCH(Summary!AX$1,'RA3-Backfilled Pits'!$A$9:$BN$9,1),FALSE),0)+IFERROR(VLOOKUP($B23,'RA4-Tracks_Roads'!$A$11:$BN$18,MATCH(Summary!AX$1,'RA4-Tracks_Roads'!$A$9:$BN$9,1),FALSE),0)+IFERROR(VLOOKUP($B23,'RA5-ROM'!$A$11:$BN$18,MATCH(Summary!AX$1,'RA5-ROM'!$A$9:$BN$9,1),FALSE),0)+IFERROR(VLOOKUP($B23,'RA6-CHPP'!$A$11:$BN$18,MATCH(Summary!AX$1,'RA6-CHPP'!$A$9:$BN$9,1),FALSE),0)+IFERROR(VLOOKUP($B23,'RA7-Mine Infrastructure Area'!$A$11:$BN$18,MATCH(Summary!AX$1,'RA7-Mine Infrastructure Area'!$A$9:$BN$9,1),FALSE),0)+IFERROR(VLOOKUP($B23,'RA8-Water Management Structures'!$A$11:$BN$18,MATCH(Summary!AX$1,'RA8-Water Management Structures'!$A$9:$BN$9,1),FALSE),0)+IFERROR(VLOOKUP($B23,'RA9-Codisposal Upper'!$A$11:$BN$18,MATCH(Summary!AX$1,'RA9-Codisposal Upper'!$A$9:$BN$9,1),FALSE),0)+IFERROR(VLOOKUP($B23,'RA10-Codisposal Slopes'!$A$11:$BN$18,MATCH(Summary!AX$1,'RA10-Codisposal Slopes'!$A$9:$BN$9,1),FALSE),0)+IFERROR(VLOOKUP($B23,'IA1-Final Void inc Ramps'!$A$11:$BN$18,MATCH(Summary!AX$1,'IA1-Final Void inc Ramps'!$A$9:$BN$9,1),FALSE),0)</f>
        <v>171.56</v>
      </c>
      <c r="AY23" s="47">
        <f>IFERROR(VLOOKUP($B23,'RA1- Elevated Dumps Upper'!$A$11:$BN$18,MATCH(Summary!AY$1,'RA1- Elevated Dumps Upper'!$A$9:$BN$9,1),FALSE),0)+IFERROR(VLOOKUP($B23,'RA2-Elevated Dumps Slopes'!$A$11:$BN$18,MATCH(Summary!AY$1,'RA2-Elevated Dumps Slopes'!$A$9:$BN$9,1),FALSE),0)+IFERROR(VLOOKUP($B23,'RA3-Backfilled Pits'!$A$11:$BN$18,MATCH(Summary!AY$1,'RA3-Backfilled Pits'!$A$9:$BN$9,1),FALSE),0)+IFERROR(VLOOKUP($B23,'RA4-Tracks_Roads'!$A$11:$BN$18,MATCH(Summary!AY$1,'RA4-Tracks_Roads'!$A$9:$BN$9,1),FALSE),0)+IFERROR(VLOOKUP($B23,'RA5-ROM'!$A$11:$BN$18,MATCH(Summary!AY$1,'RA5-ROM'!$A$9:$BN$9,1),FALSE),0)+IFERROR(VLOOKUP($B23,'RA6-CHPP'!$A$11:$BN$18,MATCH(Summary!AY$1,'RA6-CHPP'!$A$9:$BN$9,1),FALSE),0)+IFERROR(VLOOKUP($B23,'RA7-Mine Infrastructure Area'!$A$11:$BN$18,MATCH(Summary!AY$1,'RA7-Mine Infrastructure Area'!$A$9:$BN$9,1),FALSE),0)+IFERROR(VLOOKUP($B23,'RA8-Water Management Structures'!$A$11:$BN$18,MATCH(Summary!AY$1,'RA8-Water Management Structures'!$A$9:$BN$9,1),FALSE),0)+IFERROR(VLOOKUP($B23,'RA9-Codisposal Upper'!$A$11:$BN$18,MATCH(Summary!AY$1,'RA9-Codisposal Upper'!$A$9:$BN$9,1),FALSE),0)+IFERROR(VLOOKUP($B23,'RA10-Codisposal Slopes'!$A$11:$BN$18,MATCH(Summary!AY$1,'RA10-Codisposal Slopes'!$A$9:$BN$9,1),FALSE),0)+IFERROR(VLOOKUP($B23,'IA1-Final Void inc Ramps'!$A$11:$BN$18,MATCH(Summary!AY$1,'IA1-Final Void inc Ramps'!$A$9:$BN$9,1),FALSE),0)</f>
        <v>171.56</v>
      </c>
      <c r="AZ23" s="47">
        <f>IFERROR(VLOOKUP($B23,'RA1- Elevated Dumps Upper'!$A$11:$BN$18,MATCH(Summary!AZ$1,'RA1- Elevated Dumps Upper'!$A$9:$BN$9,1),FALSE),0)+IFERROR(VLOOKUP($B23,'RA2-Elevated Dumps Slopes'!$A$11:$BN$18,MATCH(Summary!AZ$1,'RA2-Elevated Dumps Slopes'!$A$9:$BN$9,1),FALSE),0)+IFERROR(VLOOKUP($B23,'RA3-Backfilled Pits'!$A$11:$BN$18,MATCH(Summary!AZ$1,'RA3-Backfilled Pits'!$A$9:$BN$9,1),FALSE),0)+IFERROR(VLOOKUP($B23,'RA4-Tracks_Roads'!$A$11:$BN$18,MATCH(Summary!AZ$1,'RA4-Tracks_Roads'!$A$9:$BN$9,1),FALSE),0)+IFERROR(VLOOKUP($B23,'RA5-ROM'!$A$11:$BN$18,MATCH(Summary!AZ$1,'RA5-ROM'!$A$9:$BN$9,1),FALSE),0)+IFERROR(VLOOKUP($B23,'RA6-CHPP'!$A$11:$BN$18,MATCH(Summary!AZ$1,'RA6-CHPP'!$A$9:$BN$9,1),FALSE),0)+IFERROR(VLOOKUP($B23,'RA7-Mine Infrastructure Area'!$A$11:$BN$18,MATCH(Summary!AZ$1,'RA7-Mine Infrastructure Area'!$A$9:$BN$9,1),FALSE),0)+IFERROR(VLOOKUP($B23,'RA8-Water Management Structures'!$A$11:$BN$18,MATCH(Summary!AZ$1,'RA8-Water Management Structures'!$A$9:$BN$9,1),FALSE),0)+IFERROR(VLOOKUP($B23,'RA9-Codisposal Upper'!$A$11:$BN$18,MATCH(Summary!AZ$1,'RA9-Codisposal Upper'!$A$9:$BN$9,1),FALSE),0)+IFERROR(VLOOKUP($B23,'RA10-Codisposal Slopes'!$A$11:$BN$18,MATCH(Summary!AZ$1,'RA10-Codisposal Slopes'!$A$9:$BN$9,1),FALSE),0)+IFERROR(VLOOKUP($B23,'IA1-Final Void inc Ramps'!$A$11:$BN$18,MATCH(Summary!AZ$1,'IA1-Final Void inc Ramps'!$A$9:$BN$9,1),FALSE),0)</f>
        <v>171.56</v>
      </c>
      <c r="BA23" s="47">
        <f>IFERROR(VLOOKUP($B23,'RA1- Elevated Dumps Upper'!$A$11:$BN$18,MATCH(Summary!BA$1,'RA1- Elevated Dumps Upper'!$A$9:$BN$9,1),FALSE),0)+IFERROR(VLOOKUP($B23,'RA2-Elevated Dumps Slopes'!$A$11:$BN$18,MATCH(Summary!BA$1,'RA2-Elevated Dumps Slopes'!$A$9:$BN$9,1),FALSE),0)+IFERROR(VLOOKUP($B23,'RA3-Backfilled Pits'!$A$11:$BN$18,MATCH(Summary!BA$1,'RA3-Backfilled Pits'!$A$9:$BN$9,1),FALSE),0)+IFERROR(VLOOKUP($B23,'RA4-Tracks_Roads'!$A$11:$BN$18,MATCH(Summary!BA$1,'RA4-Tracks_Roads'!$A$9:$BN$9,1),FALSE),0)+IFERROR(VLOOKUP($B23,'RA5-ROM'!$A$11:$BN$18,MATCH(Summary!BA$1,'RA5-ROM'!$A$9:$BN$9,1),FALSE),0)+IFERROR(VLOOKUP($B23,'RA6-CHPP'!$A$11:$BN$18,MATCH(Summary!BA$1,'RA6-CHPP'!$A$9:$BN$9,1),FALSE),0)+IFERROR(VLOOKUP($B23,'RA7-Mine Infrastructure Area'!$A$11:$BN$18,MATCH(Summary!BA$1,'RA7-Mine Infrastructure Area'!$A$9:$BN$9,1),FALSE),0)+IFERROR(VLOOKUP($B23,'RA8-Water Management Structures'!$A$11:$BN$18,MATCH(Summary!BA$1,'RA8-Water Management Structures'!$A$9:$BN$9,1),FALSE),0)+IFERROR(VLOOKUP($B23,'RA9-Codisposal Upper'!$A$11:$BN$18,MATCH(Summary!BA$1,'RA9-Codisposal Upper'!$A$9:$BN$9,1),FALSE),0)+IFERROR(VLOOKUP($B23,'RA10-Codisposal Slopes'!$A$11:$BN$18,MATCH(Summary!BA$1,'RA10-Codisposal Slopes'!$A$9:$BN$9,1),FALSE),0)+IFERROR(VLOOKUP($B23,'IA1-Final Void inc Ramps'!$A$11:$BN$18,MATCH(Summary!BA$1,'IA1-Final Void inc Ramps'!$A$9:$BN$9,1),FALSE),0)</f>
        <v>171.56</v>
      </c>
      <c r="BB23" s="47">
        <f>IFERROR(VLOOKUP($B23,'RA1- Elevated Dumps Upper'!$A$11:$BN$18,MATCH(Summary!BB$1,'RA1- Elevated Dumps Upper'!$A$9:$BN$9,1),FALSE),0)+IFERROR(VLOOKUP($B23,'RA2-Elevated Dumps Slopes'!$A$11:$BN$18,MATCH(Summary!BB$1,'RA2-Elevated Dumps Slopes'!$A$9:$BN$9,1),FALSE),0)+IFERROR(VLOOKUP($B23,'RA3-Backfilled Pits'!$A$11:$BN$18,MATCH(Summary!BB$1,'RA3-Backfilled Pits'!$A$9:$BN$9,1),FALSE),0)+IFERROR(VLOOKUP($B23,'RA4-Tracks_Roads'!$A$11:$BN$18,MATCH(Summary!BB$1,'RA4-Tracks_Roads'!$A$9:$BN$9,1),FALSE),0)+IFERROR(VLOOKUP($B23,'RA5-ROM'!$A$11:$BN$18,MATCH(Summary!BB$1,'RA5-ROM'!$A$9:$BN$9,1),FALSE),0)+IFERROR(VLOOKUP($B23,'RA6-CHPP'!$A$11:$BN$18,MATCH(Summary!BB$1,'RA6-CHPP'!$A$9:$BN$9,1),FALSE),0)+IFERROR(VLOOKUP($B23,'RA7-Mine Infrastructure Area'!$A$11:$BN$18,MATCH(Summary!BB$1,'RA7-Mine Infrastructure Area'!$A$9:$BN$9,1),FALSE),0)+IFERROR(VLOOKUP($B23,'RA8-Water Management Structures'!$A$11:$BN$18,MATCH(Summary!BB$1,'RA8-Water Management Structures'!$A$9:$BN$9,1),FALSE),0)+IFERROR(VLOOKUP($B23,'RA9-Codisposal Upper'!$A$11:$BN$18,MATCH(Summary!BB$1,'RA9-Codisposal Upper'!$A$9:$BN$9,1),FALSE),0)+IFERROR(VLOOKUP($B23,'RA10-Codisposal Slopes'!$A$11:$BN$18,MATCH(Summary!BB$1,'RA10-Codisposal Slopes'!$A$9:$BN$9,1),FALSE),0)+IFERROR(VLOOKUP($B23,'IA1-Final Void inc Ramps'!$A$11:$BN$18,MATCH(Summary!BB$1,'IA1-Final Void inc Ramps'!$A$9:$BN$9,1),FALSE),0)</f>
        <v>171.56</v>
      </c>
      <c r="BC23" s="47">
        <f>IFERROR(VLOOKUP($B23,'RA1- Elevated Dumps Upper'!$A$11:$BN$18,MATCH(Summary!BC$1,'RA1- Elevated Dumps Upper'!$A$9:$BN$9,1),FALSE),0)+IFERROR(VLOOKUP($B23,'RA2-Elevated Dumps Slopes'!$A$11:$BN$18,MATCH(Summary!BC$1,'RA2-Elevated Dumps Slopes'!$A$9:$BN$9,1),FALSE),0)+IFERROR(VLOOKUP($B23,'RA3-Backfilled Pits'!$A$11:$BN$18,MATCH(Summary!BC$1,'RA3-Backfilled Pits'!$A$9:$BN$9,1),FALSE),0)+IFERROR(VLOOKUP($B23,'RA4-Tracks_Roads'!$A$11:$BN$18,MATCH(Summary!BC$1,'RA4-Tracks_Roads'!$A$9:$BN$9,1),FALSE),0)+IFERROR(VLOOKUP($B23,'RA5-ROM'!$A$11:$BN$18,MATCH(Summary!BC$1,'RA5-ROM'!$A$9:$BN$9,1),FALSE),0)+IFERROR(VLOOKUP($B23,'RA6-CHPP'!$A$11:$BN$18,MATCH(Summary!BC$1,'RA6-CHPP'!$A$9:$BN$9,1),FALSE),0)+IFERROR(VLOOKUP($B23,'RA7-Mine Infrastructure Area'!$A$11:$BN$18,MATCH(Summary!BC$1,'RA7-Mine Infrastructure Area'!$A$9:$BN$9,1),FALSE),0)+IFERROR(VLOOKUP($B23,'RA8-Water Management Structures'!$A$11:$BN$18,MATCH(Summary!BC$1,'RA8-Water Management Structures'!$A$9:$BN$9,1),FALSE),0)+IFERROR(VLOOKUP($B23,'RA9-Codisposal Upper'!$A$11:$BN$18,MATCH(Summary!BC$1,'RA9-Codisposal Upper'!$A$9:$BN$9,1),FALSE),0)+IFERROR(VLOOKUP($B23,'RA10-Codisposal Slopes'!$A$11:$BN$18,MATCH(Summary!BC$1,'RA10-Codisposal Slopes'!$A$9:$BN$9,1),FALSE),0)+IFERROR(VLOOKUP($B23,'IA1-Final Void inc Ramps'!$A$11:$BN$18,MATCH(Summary!BC$1,'IA1-Final Void inc Ramps'!$A$9:$BN$9,1),FALSE),0)</f>
        <v>171.56</v>
      </c>
      <c r="BD23" s="47">
        <f>IFERROR(VLOOKUP($B23,'RA1- Elevated Dumps Upper'!$A$11:$BN$18,MATCH(Summary!BD$1,'RA1- Elevated Dumps Upper'!$A$9:$BN$9,1),FALSE),0)+IFERROR(VLOOKUP($B23,'RA2-Elevated Dumps Slopes'!$A$11:$BN$18,MATCH(Summary!BD$1,'RA2-Elevated Dumps Slopes'!$A$9:$BN$9,1),FALSE),0)+IFERROR(VLOOKUP($B23,'RA3-Backfilled Pits'!$A$11:$BN$18,MATCH(Summary!BD$1,'RA3-Backfilled Pits'!$A$9:$BN$9,1),FALSE),0)+IFERROR(VLOOKUP($B23,'RA4-Tracks_Roads'!$A$11:$BN$18,MATCH(Summary!BD$1,'RA4-Tracks_Roads'!$A$9:$BN$9,1),FALSE),0)+IFERROR(VLOOKUP($B23,'RA5-ROM'!$A$11:$BN$18,MATCH(Summary!BD$1,'RA5-ROM'!$A$9:$BN$9,1),FALSE),0)+IFERROR(VLOOKUP($B23,'RA6-CHPP'!$A$11:$BN$18,MATCH(Summary!BD$1,'RA6-CHPP'!$A$9:$BN$9,1),FALSE),0)+IFERROR(VLOOKUP($B23,'RA7-Mine Infrastructure Area'!$A$11:$BN$18,MATCH(Summary!BD$1,'RA7-Mine Infrastructure Area'!$A$9:$BN$9,1),FALSE),0)+IFERROR(VLOOKUP($B23,'RA8-Water Management Structures'!$A$11:$BN$18,MATCH(Summary!BD$1,'RA8-Water Management Structures'!$A$9:$BN$9,1),FALSE),0)+IFERROR(VLOOKUP($B23,'RA9-Codisposal Upper'!$A$11:$BN$18,MATCH(Summary!BD$1,'RA9-Codisposal Upper'!$A$9:$BN$9,1),FALSE),0)+IFERROR(VLOOKUP($B23,'RA10-Codisposal Slopes'!$A$11:$BN$18,MATCH(Summary!BD$1,'RA10-Codisposal Slopes'!$A$9:$BN$9,1),FALSE),0)+IFERROR(VLOOKUP($B23,'IA1-Final Void inc Ramps'!$A$11:$BN$18,MATCH(Summary!BD$1,'IA1-Final Void inc Ramps'!$A$9:$BN$9,1),FALSE),0)</f>
        <v>171.56</v>
      </c>
      <c r="BE23" s="47">
        <f>IFERROR(VLOOKUP($B23,'RA1- Elevated Dumps Upper'!$A$11:$BN$18,MATCH(Summary!BE$1,'RA1- Elevated Dumps Upper'!$A$9:$BN$9,1),FALSE),0)+IFERROR(VLOOKUP($B23,'RA2-Elevated Dumps Slopes'!$A$11:$BN$18,MATCH(Summary!BE$1,'RA2-Elevated Dumps Slopes'!$A$9:$BN$9,1),FALSE),0)+IFERROR(VLOOKUP($B23,'RA3-Backfilled Pits'!$A$11:$BN$18,MATCH(Summary!BE$1,'RA3-Backfilled Pits'!$A$9:$BN$9,1),FALSE),0)+IFERROR(VLOOKUP($B23,'RA4-Tracks_Roads'!$A$11:$BN$18,MATCH(Summary!BE$1,'RA4-Tracks_Roads'!$A$9:$BN$9,1),FALSE),0)+IFERROR(VLOOKUP($B23,'RA5-ROM'!$A$11:$BN$18,MATCH(Summary!BE$1,'RA5-ROM'!$A$9:$BN$9,1),FALSE),0)+IFERROR(VLOOKUP($B23,'RA6-CHPP'!$A$11:$BN$18,MATCH(Summary!BE$1,'RA6-CHPP'!$A$9:$BN$9,1),FALSE),0)+IFERROR(VLOOKUP($B23,'RA7-Mine Infrastructure Area'!$A$11:$BN$18,MATCH(Summary!BE$1,'RA7-Mine Infrastructure Area'!$A$9:$BN$9,1),FALSE),0)+IFERROR(VLOOKUP($B23,'RA8-Water Management Structures'!$A$11:$BN$18,MATCH(Summary!BE$1,'RA8-Water Management Structures'!$A$9:$BN$9,1),FALSE),0)+IFERROR(VLOOKUP($B23,'RA9-Codisposal Upper'!$A$11:$BN$18,MATCH(Summary!BE$1,'RA9-Codisposal Upper'!$A$9:$BN$9,1),FALSE),0)+IFERROR(VLOOKUP($B23,'RA10-Codisposal Slopes'!$A$11:$BN$18,MATCH(Summary!BE$1,'RA10-Codisposal Slopes'!$A$9:$BN$9,1),FALSE),0)+IFERROR(VLOOKUP($B23,'IA1-Final Void inc Ramps'!$A$11:$BN$18,MATCH(Summary!BE$1,'IA1-Final Void inc Ramps'!$A$9:$BN$9,1),FALSE),0)</f>
        <v>171.56</v>
      </c>
      <c r="BF23" s="47">
        <f>IFERROR(VLOOKUP($B23,'RA1- Elevated Dumps Upper'!$A$11:$BN$18,MATCH(Summary!BF$1,'RA1- Elevated Dumps Upper'!$A$9:$BN$9,1),FALSE),0)+IFERROR(VLOOKUP($B23,'RA2-Elevated Dumps Slopes'!$A$11:$BN$18,MATCH(Summary!BF$1,'RA2-Elevated Dumps Slopes'!$A$9:$BN$9,1),FALSE),0)+IFERROR(VLOOKUP($B23,'RA3-Backfilled Pits'!$A$11:$BN$18,MATCH(Summary!BF$1,'RA3-Backfilled Pits'!$A$9:$BN$9,1),FALSE),0)+IFERROR(VLOOKUP($B23,'RA4-Tracks_Roads'!$A$11:$BN$18,MATCH(Summary!BF$1,'RA4-Tracks_Roads'!$A$9:$BN$9,1),FALSE),0)+IFERROR(VLOOKUP($B23,'RA5-ROM'!$A$11:$BN$18,MATCH(Summary!BF$1,'RA5-ROM'!$A$9:$BN$9,1),FALSE),0)+IFERROR(VLOOKUP($B23,'RA6-CHPP'!$A$11:$BN$18,MATCH(Summary!BF$1,'RA6-CHPP'!$A$9:$BN$9,1),FALSE),0)+IFERROR(VLOOKUP($B23,'RA7-Mine Infrastructure Area'!$A$11:$BN$18,MATCH(Summary!BF$1,'RA7-Mine Infrastructure Area'!$A$9:$BN$9,1),FALSE),0)+IFERROR(VLOOKUP($B23,'RA8-Water Management Structures'!$A$11:$BN$18,MATCH(Summary!BF$1,'RA8-Water Management Structures'!$A$9:$BN$9,1),FALSE),0)+IFERROR(VLOOKUP($B23,'RA9-Codisposal Upper'!$A$11:$BN$18,MATCH(Summary!BF$1,'RA9-Codisposal Upper'!$A$9:$BN$9,1),FALSE),0)+IFERROR(VLOOKUP($B23,'RA10-Codisposal Slopes'!$A$11:$BN$18,MATCH(Summary!BF$1,'RA10-Codisposal Slopes'!$A$9:$BN$9,1),FALSE),0)+IFERROR(VLOOKUP($B23,'IA1-Final Void inc Ramps'!$A$11:$BN$18,MATCH(Summary!BF$1,'IA1-Final Void inc Ramps'!$A$9:$BN$9,1),FALSE),0)</f>
        <v>171.56</v>
      </c>
      <c r="BG23" s="47">
        <f>IFERROR(VLOOKUP($B23,'RA1- Elevated Dumps Upper'!$A$11:$BN$18,MATCH(Summary!BG$1,'RA1- Elevated Dumps Upper'!$A$9:$BN$9,1),FALSE),0)+IFERROR(VLOOKUP($B23,'RA2-Elevated Dumps Slopes'!$A$11:$BN$18,MATCH(Summary!BG$1,'RA2-Elevated Dumps Slopes'!$A$9:$BN$9,1),FALSE),0)+IFERROR(VLOOKUP($B23,'RA3-Backfilled Pits'!$A$11:$BN$18,MATCH(Summary!BG$1,'RA3-Backfilled Pits'!$A$9:$BN$9,1),FALSE),0)+IFERROR(VLOOKUP($B23,'RA4-Tracks_Roads'!$A$11:$BN$18,MATCH(Summary!BG$1,'RA4-Tracks_Roads'!$A$9:$BN$9,1),FALSE),0)+IFERROR(VLOOKUP($B23,'RA5-ROM'!$A$11:$BN$18,MATCH(Summary!BG$1,'RA5-ROM'!$A$9:$BN$9,1),FALSE),0)+IFERROR(VLOOKUP($B23,'RA6-CHPP'!$A$11:$BN$18,MATCH(Summary!BG$1,'RA6-CHPP'!$A$9:$BN$9,1),FALSE),0)+IFERROR(VLOOKUP($B23,'RA7-Mine Infrastructure Area'!$A$11:$BN$18,MATCH(Summary!BG$1,'RA7-Mine Infrastructure Area'!$A$9:$BN$9,1),FALSE),0)+IFERROR(VLOOKUP($B23,'RA8-Water Management Structures'!$A$11:$BN$18,MATCH(Summary!BG$1,'RA8-Water Management Structures'!$A$9:$BN$9,1),FALSE),0)+IFERROR(VLOOKUP($B23,'RA9-Codisposal Upper'!$A$11:$BN$18,MATCH(Summary!BG$1,'RA9-Codisposal Upper'!$A$9:$BN$9,1),FALSE),0)+IFERROR(VLOOKUP($B23,'RA10-Codisposal Slopes'!$A$11:$BN$18,MATCH(Summary!BG$1,'RA10-Codisposal Slopes'!$A$9:$BN$9,1),FALSE),0)+IFERROR(VLOOKUP($B23,'IA1-Final Void inc Ramps'!$A$11:$BN$18,MATCH(Summary!BG$1,'IA1-Final Void inc Ramps'!$A$9:$BN$9,1),FALSE),0)</f>
        <v>171.56</v>
      </c>
      <c r="BH23" s="47">
        <f>IFERROR(VLOOKUP($B23,'RA1- Elevated Dumps Upper'!$A$11:$BN$18,MATCH(Summary!BH$1,'RA1- Elevated Dumps Upper'!$A$9:$BN$9,1),FALSE),0)+IFERROR(VLOOKUP($B23,'RA2-Elevated Dumps Slopes'!$A$11:$BN$18,MATCH(Summary!BH$1,'RA2-Elevated Dumps Slopes'!$A$9:$BN$9,1),FALSE),0)+IFERROR(VLOOKUP($B23,'RA3-Backfilled Pits'!$A$11:$BN$18,MATCH(Summary!BH$1,'RA3-Backfilled Pits'!$A$9:$BN$9,1),FALSE),0)+IFERROR(VLOOKUP($B23,'RA4-Tracks_Roads'!$A$11:$BN$18,MATCH(Summary!BH$1,'RA4-Tracks_Roads'!$A$9:$BN$9,1),FALSE),0)+IFERROR(VLOOKUP($B23,'RA5-ROM'!$A$11:$BN$18,MATCH(Summary!BH$1,'RA5-ROM'!$A$9:$BN$9,1),FALSE),0)+IFERROR(VLOOKUP($B23,'RA6-CHPP'!$A$11:$BN$18,MATCH(Summary!BH$1,'RA6-CHPP'!$A$9:$BN$9,1),FALSE),0)+IFERROR(VLOOKUP($B23,'RA7-Mine Infrastructure Area'!$A$11:$BN$18,MATCH(Summary!BH$1,'RA7-Mine Infrastructure Area'!$A$9:$BN$9,1),FALSE),0)+IFERROR(VLOOKUP($B23,'RA8-Water Management Structures'!$A$11:$BN$18,MATCH(Summary!BH$1,'RA8-Water Management Structures'!$A$9:$BN$9,1),FALSE),0)+IFERROR(VLOOKUP($B23,'RA9-Codisposal Upper'!$A$11:$BN$18,MATCH(Summary!BH$1,'RA9-Codisposal Upper'!$A$9:$BN$9,1),FALSE),0)+IFERROR(VLOOKUP($B23,'RA10-Codisposal Slopes'!$A$11:$BN$18,MATCH(Summary!BH$1,'RA10-Codisposal Slopes'!$A$9:$BN$9,1),FALSE),0)+IFERROR(VLOOKUP($B23,'IA1-Final Void inc Ramps'!$A$11:$BN$18,MATCH(Summary!BH$1,'IA1-Final Void inc Ramps'!$A$9:$BN$9,1),FALSE),0)</f>
        <v>171.56</v>
      </c>
      <c r="BI23" s="47">
        <f>IFERROR(VLOOKUP($B23,'RA1- Elevated Dumps Upper'!$A$11:$BN$18,MATCH(Summary!BI$1,'RA1- Elevated Dumps Upper'!$A$9:$BN$9,1),FALSE),0)+IFERROR(VLOOKUP($B23,'RA2-Elevated Dumps Slopes'!$A$11:$BN$18,MATCH(Summary!BI$1,'RA2-Elevated Dumps Slopes'!$A$9:$BN$9,1),FALSE),0)+IFERROR(VLOOKUP($B23,'RA3-Backfilled Pits'!$A$11:$BN$18,MATCH(Summary!BI$1,'RA3-Backfilled Pits'!$A$9:$BN$9,1),FALSE),0)+IFERROR(VLOOKUP($B23,'RA4-Tracks_Roads'!$A$11:$BN$18,MATCH(Summary!BI$1,'RA4-Tracks_Roads'!$A$9:$BN$9,1),FALSE),0)+IFERROR(VLOOKUP($B23,'RA5-ROM'!$A$11:$BN$18,MATCH(Summary!BI$1,'RA5-ROM'!$A$9:$BN$9,1),FALSE),0)+IFERROR(VLOOKUP($B23,'RA6-CHPP'!$A$11:$BN$18,MATCH(Summary!BI$1,'RA6-CHPP'!$A$9:$BN$9,1),FALSE),0)+IFERROR(VLOOKUP($B23,'RA7-Mine Infrastructure Area'!$A$11:$BN$18,MATCH(Summary!BI$1,'RA7-Mine Infrastructure Area'!$A$9:$BN$9,1),FALSE),0)+IFERROR(VLOOKUP($B23,'RA8-Water Management Structures'!$A$11:$BN$18,MATCH(Summary!BI$1,'RA8-Water Management Structures'!$A$9:$BN$9,1),FALSE),0)+IFERROR(VLOOKUP($B23,'RA9-Codisposal Upper'!$A$11:$BN$18,MATCH(Summary!BI$1,'RA9-Codisposal Upper'!$A$9:$BN$9,1),FALSE),0)+IFERROR(VLOOKUP($B23,'RA10-Codisposal Slopes'!$A$11:$BN$18,MATCH(Summary!BI$1,'RA10-Codisposal Slopes'!$A$9:$BN$9,1),FALSE),0)+IFERROR(VLOOKUP($B23,'IA1-Final Void inc Ramps'!$A$11:$BN$18,MATCH(Summary!BI$1,'IA1-Final Void inc Ramps'!$A$9:$BN$9,1),FALSE),0)</f>
        <v>171.56</v>
      </c>
      <c r="BJ23" s="47">
        <f>IFERROR(VLOOKUP($B23,'RA1- Elevated Dumps Upper'!$A$11:$BN$18,MATCH(Summary!BJ$1,'RA1- Elevated Dumps Upper'!$A$9:$BN$9,1),FALSE),0)+IFERROR(VLOOKUP($B23,'RA2-Elevated Dumps Slopes'!$A$11:$BN$18,MATCH(Summary!BJ$1,'RA2-Elevated Dumps Slopes'!$A$9:$BN$9,1),FALSE),0)+IFERROR(VLOOKUP($B23,'RA3-Backfilled Pits'!$A$11:$BN$18,MATCH(Summary!BJ$1,'RA3-Backfilled Pits'!$A$9:$BN$9,1),FALSE),0)+IFERROR(VLOOKUP($B23,'RA4-Tracks_Roads'!$A$11:$BN$18,MATCH(Summary!BJ$1,'RA4-Tracks_Roads'!$A$9:$BN$9,1),FALSE),0)+IFERROR(VLOOKUP($B23,'RA5-ROM'!$A$11:$BN$18,MATCH(Summary!BJ$1,'RA5-ROM'!$A$9:$BN$9,1),FALSE),0)+IFERROR(VLOOKUP($B23,'RA6-CHPP'!$A$11:$BN$18,MATCH(Summary!BJ$1,'RA6-CHPP'!$A$9:$BN$9,1),FALSE),0)+IFERROR(VLOOKUP($B23,'RA7-Mine Infrastructure Area'!$A$11:$BN$18,MATCH(Summary!BJ$1,'RA7-Mine Infrastructure Area'!$A$9:$BN$9,1),FALSE),0)+IFERROR(VLOOKUP($B23,'RA8-Water Management Structures'!$A$11:$BN$18,MATCH(Summary!BJ$1,'RA8-Water Management Structures'!$A$9:$BN$9,1),FALSE),0)+IFERROR(VLOOKUP($B23,'RA9-Codisposal Upper'!$A$11:$BN$18,MATCH(Summary!BJ$1,'RA9-Codisposal Upper'!$A$9:$BN$9,1),FALSE),0)+IFERROR(VLOOKUP($B23,'RA10-Codisposal Slopes'!$A$11:$BN$18,MATCH(Summary!BJ$1,'RA10-Codisposal Slopes'!$A$9:$BN$9,1),FALSE),0)+IFERROR(VLOOKUP($B23,'IA1-Final Void inc Ramps'!$A$11:$BN$18,MATCH(Summary!BJ$1,'IA1-Final Void inc Ramps'!$A$9:$BN$9,1),FALSE),0)</f>
        <v>171.56</v>
      </c>
      <c r="BK23" s="47">
        <f>IFERROR(VLOOKUP($B23,'RA1- Elevated Dumps Upper'!$A$11:$BN$18,MATCH(Summary!BK$1,'RA1- Elevated Dumps Upper'!$A$9:$BN$9,1),FALSE),0)+IFERROR(VLOOKUP($B23,'RA2-Elevated Dumps Slopes'!$A$11:$BN$18,MATCH(Summary!BK$1,'RA2-Elevated Dumps Slopes'!$A$9:$BN$9,1),FALSE),0)+IFERROR(VLOOKUP($B23,'RA3-Backfilled Pits'!$A$11:$BN$18,MATCH(Summary!BK$1,'RA3-Backfilled Pits'!$A$9:$BN$9,1),FALSE),0)+IFERROR(VLOOKUP($B23,'RA4-Tracks_Roads'!$A$11:$BN$18,MATCH(Summary!BK$1,'RA4-Tracks_Roads'!$A$9:$BN$9,1),FALSE),0)+IFERROR(VLOOKUP($B23,'RA5-ROM'!$A$11:$BN$18,MATCH(Summary!BK$1,'RA5-ROM'!$A$9:$BN$9,1),FALSE),0)+IFERROR(VLOOKUP($B23,'RA6-CHPP'!$A$11:$BN$18,MATCH(Summary!BK$1,'RA6-CHPP'!$A$9:$BN$9,1),FALSE),0)+IFERROR(VLOOKUP($B23,'RA7-Mine Infrastructure Area'!$A$11:$BN$18,MATCH(Summary!BK$1,'RA7-Mine Infrastructure Area'!$A$9:$BN$9,1),FALSE),0)+IFERROR(VLOOKUP($B23,'RA8-Water Management Structures'!$A$11:$BN$18,MATCH(Summary!BK$1,'RA8-Water Management Structures'!$A$9:$BN$9,1),FALSE),0)+IFERROR(VLOOKUP($B23,'RA9-Codisposal Upper'!$A$11:$BN$18,MATCH(Summary!BK$1,'RA9-Codisposal Upper'!$A$9:$BN$9,1),FALSE),0)+IFERROR(VLOOKUP($B23,'RA10-Codisposal Slopes'!$A$11:$BN$18,MATCH(Summary!BK$1,'RA10-Codisposal Slopes'!$A$9:$BN$9,1),FALSE),0)+IFERROR(VLOOKUP($B23,'IA1-Final Void inc Ramps'!$A$11:$BN$18,MATCH(Summary!BK$1,'IA1-Final Void inc Ramps'!$A$9:$BN$9,1),FALSE),0)</f>
        <v>171.56</v>
      </c>
      <c r="BL23" s="47">
        <f>IFERROR(VLOOKUP($B23,'RA1- Elevated Dumps Upper'!$A$11:$BN$18,MATCH(Summary!BL$1,'RA1- Elevated Dumps Upper'!$A$9:$BN$9,1),FALSE),0)+IFERROR(VLOOKUP($B23,'RA2-Elevated Dumps Slopes'!$A$11:$BN$18,MATCH(Summary!BL$1,'RA2-Elevated Dumps Slopes'!$A$9:$BN$9,1),FALSE),0)+IFERROR(VLOOKUP($B23,'RA3-Backfilled Pits'!$A$11:$BN$18,MATCH(Summary!BL$1,'RA3-Backfilled Pits'!$A$9:$BN$9,1),FALSE),0)+IFERROR(VLOOKUP($B23,'RA4-Tracks_Roads'!$A$11:$BN$18,MATCH(Summary!BL$1,'RA4-Tracks_Roads'!$A$9:$BN$9,1),FALSE),0)+IFERROR(VLOOKUP($B23,'RA5-ROM'!$A$11:$BN$18,MATCH(Summary!BL$1,'RA5-ROM'!$A$9:$BN$9,1),FALSE),0)+IFERROR(VLOOKUP($B23,'RA6-CHPP'!$A$11:$BN$18,MATCH(Summary!BL$1,'RA6-CHPP'!$A$9:$BN$9,1),FALSE),0)+IFERROR(VLOOKUP($B23,'RA7-Mine Infrastructure Area'!$A$11:$BN$18,MATCH(Summary!BL$1,'RA7-Mine Infrastructure Area'!$A$9:$BN$9,1),FALSE),0)+IFERROR(VLOOKUP($B23,'RA8-Water Management Structures'!$A$11:$BN$18,MATCH(Summary!BL$1,'RA8-Water Management Structures'!$A$9:$BN$9,1),FALSE),0)+IFERROR(VLOOKUP($B23,'RA9-Codisposal Upper'!$A$11:$BN$18,MATCH(Summary!BL$1,'RA9-Codisposal Upper'!$A$9:$BN$9,1),FALSE),0)+IFERROR(VLOOKUP($B23,'RA10-Codisposal Slopes'!$A$11:$BN$18,MATCH(Summary!BL$1,'RA10-Codisposal Slopes'!$A$9:$BN$9,1),FALSE),0)+IFERROR(VLOOKUP($B23,'IA1-Final Void inc Ramps'!$A$11:$BN$18,MATCH(Summary!BL$1,'IA1-Final Void inc Ramps'!$A$9:$BN$9,1),FALSE),0)</f>
        <v>171.56</v>
      </c>
      <c r="BM23" s="47">
        <f>IFERROR(VLOOKUP($B23,'RA1- Elevated Dumps Upper'!$A$11:$BN$18,MATCH(Summary!BM$1,'RA1- Elevated Dumps Upper'!$A$9:$BN$9,1),FALSE),0)+IFERROR(VLOOKUP($B23,'RA2-Elevated Dumps Slopes'!$A$11:$BN$18,MATCH(Summary!BM$1,'RA2-Elevated Dumps Slopes'!$A$9:$BN$9,1),FALSE),0)+IFERROR(VLOOKUP($B23,'RA3-Backfilled Pits'!$A$11:$BN$18,MATCH(Summary!BM$1,'RA3-Backfilled Pits'!$A$9:$BN$9,1),FALSE),0)+IFERROR(VLOOKUP($B23,'RA4-Tracks_Roads'!$A$11:$BN$18,MATCH(Summary!BM$1,'RA4-Tracks_Roads'!$A$9:$BN$9,1),FALSE),0)+IFERROR(VLOOKUP($B23,'RA5-ROM'!$A$11:$BN$18,MATCH(Summary!BM$1,'RA5-ROM'!$A$9:$BN$9,1),FALSE),0)+IFERROR(VLOOKUP($B23,'RA6-CHPP'!$A$11:$BN$18,MATCH(Summary!BM$1,'RA6-CHPP'!$A$9:$BN$9,1),FALSE),0)+IFERROR(VLOOKUP($B23,'RA7-Mine Infrastructure Area'!$A$11:$BN$18,MATCH(Summary!BM$1,'RA7-Mine Infrastructure Area'!$A$9:$BN$9,1),FALSE),0)+IFERROR(VLOOKUP($B23,'RA8-Water Management Structures'!$A$11:$BN$18,MATCH(Summary!BM$1,'RA8-Water Management Structures'!$A$9:$BN$9,1),FALSE),0)+IFERROR(VLOOKUP($B23,'RA9-Codisposal Upper'!$A$11:$BN$18,MATCH(Summary!BM$1,'RA9-Codisposal Upper'!$A$9:$BN$9,1),FALSE),0)+IFERROR(VLOOKUP($B23,'RA10-Codisposal Slopes'!$A$11:$BN$18,MATCH(Summary!BM$1,'RA10-Codisposal Slopes'!$A$9:$BN$9,1),FALSE),0)+IFERROR(VLOOKUP($B23,'IA1-Final Void inc Ramps'!$A$11:$BN$18,MATCH(Summary!BM$1,'IA1-Final Void inc Ramps'!$A$9:$BN$9,1),FALSE),0)</f>
        <v>171.56</v>
      </c>
      <c r="BN23" s="47">
        <f>IFERROR(VLOOKUP($B23,'RA1- Elevated Dumps Upper'!$A$11:$BN$18,MATCH(Summary!BN$1,'RA1- Elevated Dumps Upper'!$A$9:$BN$9,1),FALSE),0)+IFERROR(VLOOKUP($B23,'RA2-Elevated Dumps Slopes'!$A$11:$BN$18,MATCH(Summary!BN$1,'RA2-Elevated Dumps Slopes'!$A$9:$BN$9,1),FALSE),0)+IFERROR(VLOOKUP($B23,'RA3-Backfilled Pits'!$A$11:$BN$18,MATCH(Summary!BN$1,'RA3-Backfilled Pits'!$A$9:$BN$9,1),FALSE),0)+IFERROR(VLOOKUP($B23,'RA4-Tracks_Roads'!$A$11:$BN$18,MATCH(Summary!BN$1,'RA4-Tracks_Roads'!$A$9:$BN$9,1),FALSE),0)+IFERROR(VLOOKUP($B23,'RA5-ROM'!$A$11:$BN$18,MATCH(Summary!BN$1,'RA5-ROM'!$A$9:$BN$9,1),FALSE),0)+IFERROR(VLOOKUP($B23,'RA6-CHPP'!$A$11:$BN$18,MATCH(Summary!BN$1,'RA6-CHPP'!$A$9:$BN$9,1),FALSE),0)+IFERROR(VLOOKUP($B23,'RA7-Mine Infrastructure Area'!$A$11:$BN$18,MATCH(Summary!BN$1,'RA7-Mine Infrastructure Area'!$A$9:$BN$9,1),FALSE),0)+IFERROR(VLOOKUP($B23,'RA8-Water Management Structures'!$A$11:$BN$18,MATCH(Summary!BN$1,'RA8-Water Management Structures'!$A$9:$BN$9,1),FALSE),0)+IFERROR(VLOOKUP($B23,'RA9-Codisposal Upper'!$A$11:$BN$18,MATCH(Summary!BN$1,'RA9-Codisposal Upper'!$A$9:$BN$9,1),FALSE),0)+IFERROR(VLOOKUP($B23,'RA10-Codisposal Slopes'!$A$11:$BN$18,MATCH(Summary!BN$1,'RA10-Codisposal Slopes'!$A$9:$BN$9,1),FALSE),0)+IFERROR(VLOOKUP($B23,'IA1-Final Void inc Ramps'!$A$11:$BN$18,MATCH(Summary!BN$1,'IA1-Final Void inc Ramps'!$A$9:$BN$9,1),FALSE),0)</f>
        <v>171.56</v>
      </c>
    </row>
    <row r="24" spans="1:66" x14ac:dyDescent="0.35">
      <c r="B24" t="s">
        <v>57</v>
      </c>
      <c r="D24" s="47">
        <f>IFERROR(VLOOKUP($B24,'RA1- Elevated Dumps Upper'!$A$11:$BN$18,MATCH(Summary!D$1,'RA1- Elevated Dumps Upper'!$A$9:$BN$9,1),FALSE),0)+IFERROR(VLOOKUP($B24,'RA2-Elevated Dumps Slopes'!$A$11:$BN$18,MATCH(Summary!D$1,'RA2-Elevated Dumps Slopes'!$A$9:$BN$9,1),FALSE),0)+IFERROR(VLOOKUP($B24,'RA3-Backfilled Pits'!$A$11:$BN$18,MATCH(Summary!D$1,'RA3-Backfilled Pits'!$A$9:$BN$9,1),FALSE),0)+IFERROR(VLOOKUP($B24,'RA4-Tracks_Roads'!$A$11:$BN$18,MATCH(Summary!D$1,'RA4-Tracks_Roads'!$A$9:$BN$9,1),FALSE),0)+IFERROR(VLOOKUP($B24,'RA5-ROM'!$A$11:$BN$18,MATCH(Summary!D$1,'RA5-ROM'!$A$9:$BN$9,1),FALSE),0)+IFERROR(VLOOKUP($B24,'RA6-CHPP'!$A$11:$BN$18,MATCH(Summary!D$1,'RA6-CHPP'!$A$9:$BN$9,1),FALSE),0)+IFERROR(VLOOKUP($B24,'RA7-Mine Infrastructure Area'!$A$11:$BN$18,MATCH(Summary!D$1,'RA7-Mine Infrastructure Area'!$A$9:$BN$9,1),FALSE),0)+IFERROR(VLOOKUP($B24,'RA8-Water Management Structures'!$A$11:$BN$18,MATCH(Summary!D$1,'RA8-Water Management Structures'!$A$9:$BN$9,1),FALSE),0)+IFERROR(VLOOKUP($B24,'RA9-Codisposal Upper'!$A$11:$BN$18,MATCH(Summary!D$1,'RA9-Codisposal Upper'!$A$9:$BN$9,1),FALSE),0)+IFERROR(VLOOKUP($B24,'RA10-Codisposal Slopes'!$A$11:$BN$18,MATCH(Summary!D$1,'RA10-Codisposal Slopes'!$A$9:$BN$9,1),FALSE),0)+IFERROR(VLOOKUP($B24,'IA1-Final Void inc Ramps'!$A$11:$BN$18,MATCH(Summary!D$1,'IA1-Final Void inc Ramps'!$A$9:$BN$9,1),FALSE),0)</f>
        <v>0</v>
      </c>
      <c r="E24" s="47">
        <f>IFERROR(VLOOKUP($B24,'RA1- Elevated Dumps Upper'!$A$11:$BN$18,MATCH(Summary!E$1,'RA1- Elevated Dumps Upper'!$A$9:$BN$9,1),FALSE),0)+IFERROR(VLOOKUP($B24,'RA2-Elevated Dumps Slopes'!$A$11:$BN$18,MATCH(Summary!E$1,'RA2-Elevated Dumps Slopes'!$A$9:$BN$9,1),FALSE),0)+IFERROR(VLOOKUP($B24,'RA3-Backfilled Pits'!$A$11:$BN$18,MATCH(Summary!E$1,'RA3-Backfilled Pits'!$A$9:$BN$9,1),FALSE),0)+IFERROR(VLOOKUP($B24,'RA4-Tracks_Roads'!$A$11:$BN$18,MATCH(Summary!E$1,'RA4-Tracks_Roads'!$A$9:$BN$9,1),FALSE),0)+IFERROR(VLOOKUP($B24,'RA5-ROM'!$A$11:$BN$18,MATCH(Summary!E$1,'RA5-ROM'!$A$9:$BN$9,1),FALSE),0)+IFERROR(VLOOKUP($B24,'RA6-CHPP'!$A$11:$BN$18,MATCH(Summary!E$1,'RA6-CHPP'!$A$9:$BN$9,1),FALSE),0)+IFERROR(VLOOKUP($B24,'RA7-Mine Infrastructure Area'!$A$11:$BN$18,MATCH(Summary!E$1,'RA7-Mine Infrastructure Area'!$A$9:$BN$9,1),FALSE),0)+IFERROR(VLOOKUP($B24,'RA8-Water Management Structures'!$A$11:$BN$18,MATCH(Summary!E$1,'RA8-Water Management Structures'!$A$9:$BN$9,1),FALSE),0)+IFERROR(VLOOKUP($B24,'RA9-Codisposal Upper'!$A$11:$BN$18,MATCH(Summary!E$1,'RA9-Codisposal Upper'!$A$9:$BN$9,1),FALSE),0)+IFERROR(VLOOKUP($B24,'RA10-Codisposal Slopes'!$A$11:$BN$18,MATCH(Summary!E$1,'RA10-Codisposal Slopes'!$A$9:$BN$9,1),FALSE),0)+IFERROR(VLOOKUP($B24,'IA1-Final Void inc Ramps'!$A$11:$BN$18,MATCH(Summary!E$1,'IA1-Final Void inc Ramps'!$A$9:$BN$9,1),FALSE),0)</f>
        <v>0</v>
      </c>
      <c r="F24" s="47">
        <f>IFERROR(VLOOKUP($B24,'RA1- Elevated Dumps Upper'!$A$11:$BN$18,MATCH(Summary!F$1,'RA1- Elevated Dumps Upper'!$A$9:$BN$9,1),FALSE),0)+IFERROR(VLOOKUP($B24,'RA2-Elevated Dumps Slopes'!$A$11:$BN$18,MATCH(Summary!F$1,'RA2-Elevated Dumps Slopes'!$A$9:$BN$9,1),FALSE),0)+IFERROR(VLOOKUP($B24,'RA3-Backfilled Pits'!$A$11:$BN$18,MATCH(Summary!F$1,'RA3-Backfilled Pits'!$A$9:$BN$9,1),FALSE),0)+IFERROR(VLOOKUP($B24,'RA4-Tracks_Roads'!$A$11:$BN$18,MATCH(Summary!F$1,'RA4-Tracks_Roads'!$A$9:$BN$9,1),FALSE),0)+IFERROR(VLOOKUP($B24,'RA5-ROM'!$A$11:$BN$18,MATCH(Summary!F$1,'RA5-ROM'!$A$9:$BN$9,1),FALSE),0)+IFERROR(VLOOKUP($B24,'RA6-CHPP'!$A$11:$BN$18,MATCH(Summary!F$1,'RA6-CHPP'!$A$9:$BN$9,1),FALSE),0)+IFERROR(VLOOKUP($B24,'RA7-Mine Infrastructure Area'!$A$11:$BN$18,MATCH(Summary!F$1,'RA7-Mine Infrastructure Area'!$A$9:$BN$9,1),FALSE),0)+IFERROR(VLOOKUP($B24,'RA8-Water Management Structures'!$A$11:$BN$18,MATCH(Summary!F$1,'RA8-Water Management Structures'!$A$9:$BN$9,1),FALSE),0)+IFERROR(VLOOKUP($B24,'RA9-Codisposal Upper'!$A$11:$BN$18,MATCH(Summary!F$1,'RA9-Codisposal Upper'!$A$9:$BN$9,1),FALSE),0)+IFERROR(VLOOKUP($B24,'RA10-Codisposal Slopes'!$A$11:$BN$18,MATCH(Summary!F$1,'RA10-Codisposal Slopes'!$A$9:$BN$9,1),FALSE),0)+IFERROR(VLOOKUP($B24,'IA1-Final Void inc Ramps'!$A$11:$BN$18,MATCH(Summary!F$1,'IA1-Final Void inc Ramps'!$A$9:$BN$9,1),FALSE),0)</f>
        <v>0</v>
      </c>
      <c r="G24" s="47">
        <f>IFERROR(VLOOKUP($B24,'RA1- Elevated Dumps Upper'!$A$11:$BN$18,MATCH(Summary!G$1,'RA1- Elevated Dumps Upper'!$A$9:$BN$9,1),FALSE),0)+IFERROR(VLOOKUP($B24,'RA2-Elevated Dumps Slopes'!$A$11:$BN$18,MATCH(Summary!G$1,'RA2-Elevated Dumps Slopes'!$A$9:$BN$9,1),FALSE),0)+IFERROR(VLOOKUP($B24,'RA3-Backfilled Pits'!$A$11:$BN$18,MATCH(Summary!G$1,'RA3-Backfilled Pits'!$A$9:$BN$9,1),FALSE),0)+IFERROR(VLOOKUP($B24,'RA4-Tracks_Roads'!$A$11:$BN$18,MATCH(Summary!G$1,'RA4-Tracks_Roads'!$A$9:$BN$9,1),FALSE),0)+IFERROR(VLOOKUP($B24,'RA5-ROM'!$A$11:$BN$18,MATCH(Summary!G$1,'RA5-ROM'!$A$9:$BN$9,1),FALSE),0)+IFERROR(VLOOKUP($B24,'RA6-CHPP'!$A$11:$BN$18,MATCH(Summary!G$1,'RA6-CHPP'!$A$9:$BN$9,1),FALSE),0)+IFERROR(VLOOKUP($B24,'RA7-Mine Infrastructure Area'!$A$11:$BN$18,MATCH(Summary!G$1,'RA7-Mine Infrastructure Area'!$A$9:$BN$9,1),FALSE),0)+IFERROR(VLOOKUP($B24,'RA8-Water Management Structures'!$A$11:$BN$18,MATCH(Summary!G$1,'RA8-Water Management Structures'!$A$9:$BN$9,1),FALSE),0)+IFERROR(VLOOKUP($B24,'RA9-Codisposal Upper'!$A$11:$BN$18,MATCH(Summary!G$1,'RA9-Codisposal Upper'!$A$9:$BN$9,1),FALSE),0)+IFERROR(VLOOKUP($B24,'RA10-Codisposal Slopes'!$A$11:$BN$18,MATCH(Summary!G$1,'RA10-Codisposal Slopes'!$A$9:$BN$9,1),FALSE),0)+IFERROR(VLOOKUP($B24,'IA1-Final Void inc Ramps'!$A$11:$BN$18,MATCH(Summary!G$1,'IA1-Final Void inc Ramps'!$A$9:$BN$9,1),FALSE),0)</f>
        <v>0</v>
      </c>
      <c r="H24" s="47">
        <f>IFERROR(VLOOKUP($B24,'RA1- Elevated Dumps Upper'!$A$11:$BN$18,MATCH(Summary!H$1,'RA1- Elevated Dumps Upper'!$A$9:$BN$9,1),FALSE),0)+IFERROR(VLOOKUP($B24,'RA2-Elevated Dumps Slopes'!$A$11:$BN$18,MATCH(Summary!H$1,'RA2-Elevated Dumps Slopes'!$A$9:$BN$9,1),FALSE),0)+IFERROR(VLOOKUP($B24,'RA3-Backfilled Pits'!$A$11:$BN$18,MATCH(Summary!H$1,'RA3-Backfilled Pits'!$A$9:$BN$9,1),FALSE),0)+IFERROR(VLOOKUP($B24,'RA4-Tracks_Roads'!$A$11:$BN$18,MATCH(Summary!H$1,'RA4-Tracks_Roads'!$A$9:$BN$9,1),FALSE),0)+IFERROR(VLOOKUP($B24,'RA5-ROM'!$A$11:$BN$18,MATCH(Summary!H$1,'RA5-ROM'!$A$9:$BN$9,1),FALSE),0)+IFERROR(VLOOKUP($B24,'RA6-CHPP'!$A$11:$BN$18,MATCH(Summary!H$1,'RA6-CHPP'!$A$9:$BN$9,1),FALSE),0)+IFERROR(VLOOKUP($B24,'RA7-Mine Infrastructure Area'!$A$11:$BN$18,MATCH(Summary!H$1,'RA7-Mine Infrastructure Area'!$A$9:$BN$9,1),FALSE),0)+IFERROR(VLOOKUP($B24,'RA8-Water Management Structures'!$A$11:$BN$18,MATCH(Summary!H$1,'RA8-Water Management Structures'!$A$9:$BN$9,1),FALSE),0)+IFERROR(VLOOKUP($B24,'RA9-Codisposal Upper'!$A$11:$BN$18,MATCH(Summary!H$1,'RA9-Codisposal Upper'!$A$9:$BN$9,1),FALSE),0)+IFERROR(VLOOKUP($B24,'RA10-Codisposal Slopes'!$A$11:$BN$18,MATCH(Summary!H$1,'RA10-Codisposal Slopes'!$A$9:$BN$9,1),FALSE),0)+IFERROR(VLOOKUP($B24,'IA1-Final Void inc Ramps'!$A$11:$BN$18,MATCH(Summary!H$1,'IA1-Final Void inc Ramps'!$A$9:$BN$9,1),FALSE),0)</f>
        <v>0</v>
      </c>
      <c r="I24" s="47">
        <f>IFERROR(VLOOKUP($B24,'RA1- Elevated Dumps Upper'!$A$11:$BN$18,MATCH(Summary!I$1,'RA1- Elevated Dumps Upper'!$A$9:$BN$9,1),FALSE),0)+IFERROR(VLOOKUP($B24,'RA2-Elevated Dumps Slopes'!$A$11:$BN$18,MATCH(Summary!I$1,'RA2-Elevated Dumps Slopes'!$A$9:$BN$9,1),FALSE),0)+IFERROR(VLOOKUP($B24,'RA3-Backfilled Pits'!$A$11:$BN$18,MATCH(Summary!I$1,'RA3-Backfilled Pits'!$A$9:$BN$9,1),FALSE),0)+IFERROR(VLOOKUP($B24,'RA4-Tracks_Roads'!$A$11:$BN$18,MATCH(Summary!I$1,'RA4-Tracks_Roads'!$A$9:$BN$9,1),FALSE),0)+IFERROR(VLOOKUP($B24,'RA5-ROM'!$A$11:$BN$18,MATCH(Summary!I$1,'RA5-ROM'!$A$9:$BN$9,1),FALSE),0)+IFERROR(VLOOKUP($B24,'RA6-CHPP'!$A$11:$BN$18,MATCH(Summary!I$1,'RA6-CHPP'!$A$9:$BN$9,1),FALSE),0)+IFERROR(VLOOKUP($B24,'RA7-Mine Infrastructure Area'!$A$11:$BN$18,MATCH(Summary!I$1,'RA7-Mine Infrastructure Area'!$A$9:$BN$9,1),FALSE),0)+IFERROR(VLOOKUP($B24,'RA8-Water Management Structures'!$A$11:$BN$18,MATCH(Summary!I$1,'RA8-Water Management Structures'!$A$9:$BN$9,1),FALSE),0)+IFERROR(VLOOKUP($B24,'RA9-Codisposal Upper'!$A$11:$BN$18,MATCH(Summary!I$1,'RA9-Codisposal Upper'!$A$9:$BN$9,1),FALSE),0)+IFERROR(VLOOKUP($B24,'RA10-Codisposal Slopes'!$A$11:$BN$18,MATCH(Summary!I$1,'RA10-Codisposal Slopes'!$A$9:$BN$9,1),FALSE),0)+IFERROR(VLOOKUP($B24,'IA1-Final Void inc Ramps'!$A$11:$BN$18,MATCH(Summary!I$1,'IA1-Final Void inc Ramps'!$A$9:$BN$9,1),FALSE),0)</f>
        <v>0</v>
      </c>
      <c r="J24" s="47">
        <f>IFERROR(VLOOKUP($B24,'RA1- Elevated Dumps Upper'!$A$11:$BN$18,MATCH(Summary!J$1,'RA1- Elevated Dumps Upper'!$A$9:$BN$9,1),FALSE),0)+IFERROR(VLOOKUP($B24,'RA2-Elevated Dumps Slopes'!$A$11:$BN$18,MATCH(Summary!J$1,'RA2-Elevated Dumps Slopes'!$A$9:$BN$9,1),FALSE),0)+IFERROR(VLOOKUP($B24,'RA3-Backfilled Pits'!$A$11:$BN$18,MATCH(Summary!J$1,'RA3-Backfilled Pits'!$A$9:$BN$9,1),FALSE),0)+IFERROR(VLOOKUP($B24,'RA4-Tracks_Roads'!$A$11:$BN$18,MATCH(Summary!J$1,'RA4-Tracks_Roads'!$A$9:$BN$9,1),FALSE),0)+IFERROR(VLOOKUP($B24,'RA5-ROM'!$A$11:$BN$18,MATCH(Summary!J$1,'RA5-ROM'!$A$9:$BN$9,1),FALSE),0)+IFERROR(VLOOKUP($B24,'RA6-CHPP'!$A$11:$BN$18,MATCH(Summary!J$1,'RA6-CHPP'!$A$9:$BN$9,1),FALSE),0)+IFERROR(VLOOKUP($B24,'RA7-Mine Infrastructure Area'!$A$11:$BN$18,MATCH(Summary!J$1,'RA7-Mine Infrastructure Area'!$A$9:$BN$9,1),FALSE),0)+IFERROR(VLOOKUP($B24,'RA8-Water Management Structures'!$A$11:$BN$18,MATCH(Summary!J$1,'RA8-Water Management Structures'!$A$9:$BN$9,1),FALSE),0)+IFERROR(VLOOKUP($B24,'RA9-Codisposal Upper'!$A$11:$BN$18,MATCH(Summary!J$1,'RA9-Codisposal Upper'!$A$9:$BN$9,1),FALSE),0)+IFERROR(VLOOKUP($B24,'RA10-Codisposal Slopes'!$A$11:$BN$18,MATCH(Summary!J$1,'RA10-Codisposal Slopes'!$A$9:$BN$9,1),FALSE),0)+IFERROR(VLOOKUP($B24,'IA1-Final Void inc Ramps'!$A$11:$BN$18,MATCH(Summary!J$1,'IA1-Final Void inc Ramps'!$A$9:$BN$9,1),FALSE),0)</f>
        <v>0</v>
      </c>
      <c r="K24" s="47">
        <f>IFERROR(VLOOKUP($B24,'RA1- Elevated Dumps Upper'!$A$11:$BN$18,MATCH(Summary!K$1,'RA1- Elevated Dumps Upper'!$A$9:$BN$9,1),FALSE),0)+IFERROR(VLOOKUP($B24,'RA2-Elevated Dumps Slopes'!$A$11:$BN$18,MATCH(Summary!K$1,'RA2-Elevated Dumps Slopes'!$A$9:$BN$9,1),FALSE),0)+IFERROR(VLOOKUP($B24,'RA3-Backfilled Pits'!$A$11:$BN$18,MATCH(Summary!K$1,'RA3-Backfilled Pits'!$A$9:$BN$9,1),FALSE),0)+IFERROR(VLOOKUP($B24,'RA4-Tracks_Roads'!$A$11:$BN$18,MATCH(Summary!K$1,'RA4-Tracks_Roads'!$A$9:$BN$9,1),FALSE),0)+IFERROR(VLOOKUP($B24,'RA5-ROM'!$A$11:$BN$18,MATCH(Summary!K$1,'RA5-ROM'!$A$9:$BN$9,1),FALSE),0)+IFERROR(VLOOKUP($B24,'RA6-CHPP'!$A$11:$BN$18,MATCH(Summary!K$1,'RA6-CHPP'!$A$9:$BN$9,1),FALSE),0)+IFERROR(VLOOKUP($B24,'RA7-Mine Infrastructure Area'!$A$11:$BN$18,MATCH(Summary!K$1,'RA7-Mine Infrastructure Area'!$A$9:$BN$9,1),FALSE),0)+IFERROR(VLOOKUP($B24,'RA8-Water Management Structures'!$A$11:$BN$18,MATCH(Summary!K$1,'RA8-Water Management Structures'!$A$9:$BN$9,1),FALSE),0)+IFERROR(VLOOKUP($B24,'RA9-Codisposal Upper'!$A$11:$BN$18,MATCH(Summary!K$1,'RA9-Codisposal Upper'!$A$9:$BN$9,1),FALSE),0)+IFERROR(VLOOKUP($B24,'RA10-Codisposal Slopes'!$A$11:$BN$18,MATCH(Summary!K$1,'RA10-Codisposal Slopes'!$A$9:$BN$9,1),FALSE),0)+IFERROR(VLOOKUP($B24,'IA1-Final Void inc Ramps'!$A$11:$BN$18,MATCH(Summary!K$1,'IA1-Final Void inc Ramps'!$A$9:$BN$9,1),FALSE),0)</f>
        <v>0</v>
      </c>
      <c r="L24" s="47">
        <f>IFERROR(VLOOKUP($B24,'RA1- Elevated Dumps Upper'!$A$11:$BN$18,MATCH(Summary!L$1,'RA1- Elevated Dumps Upper'!$A$9:$BN$9,1),FALSE),0)+IFERROR(VLOOKUP($B24,'RA2-Elevated Dumps Slopes'!$A$11:$BN$18,MATCH(Summary!L$1,'RA2-Elevated Dumps Slopes'!$A$9:$BN$9,1),FALSE),0)+IFERROR(VLOOKUP($B24,'RA3-Backfilled Pits'!$A$11:$BN$18,MATCH(Summary!L$1,'RA3-Backfilled Pits'!$A$9:$BN$9,1),FALSE),0)+IFERROR(VLOOKUP($B24,'RA4-Tracks_Roads'!$A$11:$BN$18,MATCH(Summary!L$1,'RA4-Tracks_Roads'!$A$9:$BN$9,1),FALSE),0)+IFERROR(VLOOKUP($B24,'RA5-ROM'!$A$11:$BN$18,MATCH(Summary!L$1,'RA5-ROM'!$A$9:$BN$9,1),FALSE),0)+IFERROR(VLOOKUP($B24,'RA6-CHPP'!$A$11:$BN$18,MATCH(Summary!L$1,'RA6-CHPP'!$A$9:$BN$9,1),FALSE),0)+IFERROR(VLOOKUP($B24,'RA7-Mine Infrastructure Area'!$A$11:$BN$18,MATCH(Summary!L$1,'RA7-Mine Infrastructure Area'!$A$9:$BN$9,1),FALSE),0)+IFERROR(VLOOKUP($B24,'RA8-Water Management Structures'!$A$11:$BN$18,MATCH(Summary!L$1,'RA8-Water Management Structures'!$A$9:$BN$9,1),FALSE),0)+IFERROR(VLOOKUP($B24,'RA9-Codisposal Upper'!$A$11:$BN$18,MATCH(Summary!L$1,'RA9-Codisposal Upper'!$A$9:$BN$9,1),FALSE),0)+IFERROR(VLOOKUP($B24,'RA10-Codisposal Slopes'!$A$11:$BN$18,MATCH(Summary!L$1,'RA10-Codisposal Slopes'!$A$9:$BN$9,1),FALSE),0)+IFERROR(VLOOKUP($B24,'IA1-Final Void inc Ramps'!$A$11:$BN$18,MATCH(Summary!L$1,'IA1-Final Void inc Ramps'!$A$9:$BN$9,1),FALSE),0)</f>
        <v>0</v>
      </c>
      <c r="M24" s="47">
        <f>IFERROR(VLOOKUP($B24,'RA1- Elevated Dumps Upper'!$A$11:$BN$18,MATCH(Summary!M$1,'RA1- Elevated Dumps Upper'!$A$9:$BN$9,1),FALSE),0)+IFERROR(VLOOKUP($B24,'RA2-Elevated Dumps Slopes'!$A$11:$BN$18,MATCH(Summary!M$1,'RA2-Elevated Dumps Slopes'!$A$9:$BN$9,1),FALSE),0)+IFERROR(VLOOKUP($B24,'RA3-Backfilled Pits'!$A$11:$BN$18,MATCH(Summary!M$1,'RA3-Backfilled Pits'!$A$9:$BN$9,1),FALSE),0)+IFERROR(VLOOKUP($B24,'RA4-Tracks_Roads'!$A$11:$BN$18,MATCH(Summary!M$1,'RA4-Tracks_Roads'!$A$9:$BN$9,1),FALSE),0)+IFERROR(VLOOKUP($B24,'RA5-ROM'!$A$11:$BN$18,MATCH(Summary!M$1,'RA5-ROM'!$A$9:$BN$9,1),FALSE),0)+IFERROR(VLOOKUP($B24,'RA6-CHPP'!$A$11:$BN$18,MATCH(Summary!M$1,'RA6-CHPP'!$A$9:$BN$9,1),FALSE),0)+IFERROR(VLOOKUP($B24,'RA7-Mine Infrastructure Area'!$A$11:$BN$18,MATCH(Summary!M$1,'RA7-Mine Infrastructure Area'!$A$9:$BN$9,1),FALSE),0)+IFERROR(VLOOKUP($B24,'RA8-Water Management Structures'!$A$11:$BN$18,MATCH(Summary!M$1,'RA8-Water Management Structures'!$A$9:$BN$9,1),FALSE),0)+IFERROR(VLOOKUP($B24,'RA9-Codisposal Upper'!$A$11:$BN$18,MATCH(Summary!M$1,'RA9-Codisposal Upper'!$A$9:$BN$9,1),FALSE),0)+IFERROR(VLOOKUP($B24,'RA10-Codisposal Slopes'!$A$11:$BN$18,MATCH(Summary!M$1,'RA10-Codisposal Slopes'!$A$9:$BN$9,1),FALSE),0)+IFERROR(VLOOKUP($B24,'IA1-Final Void inc Ramps'!$A$11:$BN$18,MATCH(Summary!M$1,'IA1-Final Void inc Ramps'!$A$9:$BN$9,1),FALSE),0)</f>
        <v>0</v>
      </c>
      <c r="N24" s="47">
        <f>IFERROR(VLOOKUP($B24,'RA1- Elevated Dumps Upper'!$A$11:$BN$18,MATCH(Summary!N$1,'RA1- Elevated Dumps Upper'!$A$9:$BN$9,1),FALSE),0)+IFERROR(VLOOKUP($B24,'RA2-Elevated Dumps Slopes'!$A$11:$BN$18,MATCH(Summary!N$1,'RA2-Elevated Dumps Slopes'!$A$9:$BN$9,1),FALSE),0)+IFERROR(VLOOKUP($B24,'RA3-Backfilled Pits'!$A$11:$BN$18,MATCH(Summary!N$1,'RA3-Backfilled Pits'!$A$9:$BN$9,1),FALSE),0)+IFERROR(VLOOKUP($B24,'RA4-Tracks_Roads'!$A$11:$BN$18,MATCH(Summary!N$1,'RA4-Tracks_Roads'!$A$9:$BN$9,1),FALSE),0)+IFERROR(VLOOKUP($B24,'RA5-ROM'!$A$11:$BN$18,MATCH(Summary!N$1,'RA5-ROM'!$A$9:$BN$9,1),FALSE),0)+IFERROR(VLOOKUP($B24,'RA6-CHPP'!$A$11:$BN$18,MATCH(Summary!N$1,'RA6-CHPP'!$A$9:$BN$9,1),FALSE),0)+IFERROR(VLOOKUP($B24,'RA7-Mine Infrastructure Area'!$A$11:$BN$18,MATCH(Summary!N$1,'RA7-Mine Infrastructure Area'!$A$9:$BN$9,1),FALSE),0)+IFERROR(VLOOKUP($B24,'RA8-Water Management Structures'!$A$11:$BN$18,MATCH(Summary!N$1,'RA8-Water Management Structures'!$A$9:$BN$9,1),FALSE),0)+IFERROR(VLOOKUP($B24,'RA9-Codisposal Upper'!$A$11:$BN$18,MATCH(Summary!N$1,'RA9-Codisposal Upper'!$A$9:$BN$9,1),FALSE),0)+IFERROR(VLOOKUP($B24,'RA10-Codisposal Slopes'!$A$11:$BN$18,MATCH(Summary!N$1,'RA10-Codisposal Slopes'!$A$9:$BN$9,1),FALSE),0)+IFERROR(VLOOKUP($B24,'IA1-Final Void inc Ramps'!$A$11:$BN$18,MATCH(Summary!N$1,'IA1-Final Void inc Ramps'!$A$9:$BN$9,1),FALSE),0)</f>
        <v>0</v>
      </c>
      <c r="O24" s="47">
        <f>IFERROR(VLOOKUP($B24,'RA1- Elevated Dumps Upper'!$A$11:$BN$18,MATCH(Summary!O$1,'RA1- Elevated Dumps Upper'!$A$9:$BN$9,1),FALSE),0)+IFERROR(VLOOKUP($B24,'RA2-Elevated Dumps Slopes'!$A$11:$BN$18,MATCH(Summary!O$1,'RA2-Elevated Dumps Slopes'!$A$9:$BN$9,1),FALSE),0)+IFERROR(VLOOKUP($B24,'RA3-Backfilled Pits'!$A$11:$BN$18,MATCH(Summary!O$1,'RA3-Backfilled Pits'!$A$9:$BN$9,1),FALSE),0)+IFERROR(VLOOKUP($B24,'RA4-Tracks_Roads'!$A$11:$BN$18,MATCH(Summary!O$1,'RA4-Tracks_Roads'!$A$9:$BN$9,1),FALSE),0)+IFERROR(VLOOKUP($B24,'RA5-ROM'!$A$11:$BN$18,MATCH(Summary!O$1,'RA5-ROM'!$A$9:$BN$9,1),FALSE),0)+IFERROR(VLOOKUP($B24,'RA6-CHPP'!$A$11:$BN$18,MATCH(Summary!O$1,'RA6-CHPP'!$A$9:$BN$9,1),FALSE),0)+IFERROR(VLOOKUP($B24,'RA7-Mine Infrastructure Area'!$A$11:$BN$18,MATCH(Summary!O$1,'RA7-Mine Infrastructure Area'!$A$9:$BN$9,1),FALSE),0)+IFERROR(VLOOKUP($B24,'RA8-Water Management Structures'!$A$11:$BN$18,MATCH(Summary!O$1,'RA8-Water Management Structures'!$A$9:$BN$9,1),FALSE),0)+IFERROR(VLOOKUP($B24,'RA9-Codisposal Upper'!$A$11:$BN$18,MATCH(Summary!O$1,'RA9-Codisposal Upper'!$A$9:$BN$9,1),FALSE),0)+IFERROR(VLOOKUP($B24,'RA10-Codisposal Slopes'!$A$11:$BN$18,MATCH(Summary!O$1,'RA10-Codisposal Slopes'!$A$9:$BN$9,1),FALSE),0)+IFERROR(VLOOKUP($B24,'IA1-Final Void inc Ramps'!$A$11:$BN$18,MATCH(Summary!O$1,'IA1-Final Void inc Ramps'!$A$9:$BN$9,1),FALSE),0)</f>
        <v>0</v>
      </c>
      <c r="P24" s="47">
        <f>IFERROR(VLOOKUP($B24,'RA1- Elevated Dumps Upper'!$A$11:$BN$18,MATCH(Summary!P$1,'RA1- Elevated Dumps Upper'!$A$9:$BN$9,1),FALSE),0)+IFERROR(VLOOKUP($B24,'RA2-Elevated Dumps Slopes'!$A$11:$BN$18,MATCH(Summary!P$1,'RA2-Elevated Dumps Slopes'!$A$9:$BN$9,1),FALSE),0)+IFERROR(VLOOKUP($B24,'RA3-Backfilled Pits'!$A$11:$BN$18,MATCH(Summary!P$1,'RA3-Backfilled Pits'!$A$9:$BN$9,1),FALSE),0)+IFERROR(VLOOKUP($B24,'RA4-Tracks_Roads'!$A$11:$BN$18,MATCH(Summary!P$1,'RA4-Tracks_Roads'!$A$9:$BN$9,1),FALSE),0)+IFERROR(VLOOKUP($B24,'RA5-ROM'!$A$11:$BN$18,MATCH(Summary!P$1,'RA5-ROM'!$A$9:$BN$9,1),FALSE),0)+IFERROR(VLOOKUP($B24,'RA6-CHPP'!$A$11:$BN$18,MATCH(Summary!P$1,'RA6-CHPP'!$A$9:$BN$9,1),FALSE),0)+IFERROR(VLOOKUP($B24,'RA7-Mine Infrastructure Area'!$A$11:$BN$18,MATCH(Summary!P$1,'RA7-Mine Infrastructure Area'!$A$9:$BN$9,1),FALSE),0)+IFERROR(VLOOKUP($B24,'RA8-Water Management Structures'!$A$11:$BN$18,MATCH(Summary!P$1,'RA8-Water Management Structures'!$A$9:$BN$9,1),FALSE),0)+IFERROR(VLOOKUP($B24,'RA9-Codisposal Upper'!$A$11:$BN$18,MATCH(Summary!P$1,'RA9-Codisposal Upper'!$A$9:$BN$9,1),FALSE),0)+IFERROR(VLOOKUP($B24,'RA10-Codisposal Slopes'!$A$11:$BN$18,MATCH(Summary!P$1,'RA10-Codisposal Slopes'!$A$9:$BN$9,1),FALSE),0)+IFERROR(VLOOKUP($B24,'IA1-Final Void inc Ramps'!$A$11:$BN$18,MATCH(Summary!P$1,'IA1-Final Void inc Ramps'!$A$9:$BN$9,1),FALSE),0)</f>
        <v>0</v>
      </c>
      <c r="Q24" s="47">
        <f>IFERROR(VLOOKUP($B24,'RA1- Elevated Dumps Upper'!$A$11:$BN$18,MATCH(Summary!Q$1,'RA1- Elevated Dumps Upper'!$A$9:$BN$9,1),FALSE),0)+IFERROR(VLOOKUP($B24,'RA2-Elevated Dumps Slopes'!$A$11:$BN$18,MATCH(Summary!Q$1,'RA2-Elevated Dumps Slopes'!$A$9:$BN$9,1),FALSE),0)+IFERROR(VLOOKUP($B24,'RA3-Backfilled Pits'!$A$11:$BN$18,MATCH(Summary!Q$1,'RA3-Backfilled Pits'!$A$9:$BN$9,1),FALSE),0)+IFERROR(VLOOKUP($B24,'RA4-Tracks_Roads'!$A$11:$BN$18,MATCH(Summary!Q$1,'RA4-Tracks_Roads'!$A$9:$BN$9,1),FALSE),0)+IFERROR(VLOOKUP($B24,'RA5-ROM'!$A$11:$BN$18,MATCH(Summary!Q$1,'RA5-ROM'!$A$9:$BN$9,1),FALSE),0)+IFERROR(VLOOKUP($B24,'RA6-CHPP'!$A$11:$BN$18,MATCH(Summary!Q$1,'RA6-CHPP'!$A$9:$BN$9,1),FALSE),0)+IFERROR(VLOOKUP($B24,'RA7-Mine Infrastructure Area'!$A$11:$BN$18,MATCH(Summary!Q$1,'RA7-Mine Infrastructure Area'!$A$9:$BN$9,1),FALSE),0)+IFERROR(VLOOKUP($B24,'RA8-Water Management Structures'!$A$11:$BN$18,MATCH(Summary!Q$1,'RA8-Water Management Structures'!$A$9:$BN$9,1),FALSE),0)+IFERROR(VLOOKUP($B24,'RA9-Codisposal Upper'!$A$11:$BN$18,MATCH(Summary!Q$1,'RA9-Codisposal Upper'!$A$9:$BN$9,1),FALSE),0)+IFERROR(VLOOKUP($B24,'RA10-Codisposal Slopes'!$A$11:$BN$18,MATCH(Summary!Q$1,'RA10-Codisposal Slopes'!$A$9:$BN$9,1),FALSE),0)+IFERROR(VLOOKUP($B24,'IA1-Final Void inc Ramps'!$A$11:$BN$18,MATCH(Summary!Q$1,'IA1-Final Void inc Ramps'!$A$9:$BN$9,1),FALSE),0)</f>
        <v>0</v>
      </c>
      <c r="R24" s="47">
        <f>IFERROR(VLOOKUP($B24,'RA1- Elevated Dumps Upper'!$A$11:$BN$18,MATCH(Summary!R$1,'RA1- Elevated Dumps Upper'!$A$9:$BN$9,1),FALSE),0)+IFERROR(VLOOKUP($B24,'RA2-Elevated Dumps Slopes'!$A$11:$BN$18,MATCH(Summary!R$1,'RA2-Elevated Dumps Slopes'!$A$9:$BN$9,1),FALSE),0)+IFERROR(VLOOKUP($B24,'RA3-Backfilled Pits'!$A$11:$BN$18,MATCH(Summary!R$1,'RA3-Backfilled Pits'!$A$9:$BN$9,1),FALSE),0)+IFERROR(VLOOKUP($B24,'RA4-Tracks_Roads'!$A$11:$BN$18,MATCH(Summary!R$1,'RA4-Tracks_Roads'!$A$9:$BN$9,1),FALSE),0)+IFERROR(VLOOKUP($B24,'RA5-ROM'!$A$11:$BN$18,MATCH(Summary!R$1,'RA5-ROM'!$A$9:$BN$9,1),FALSE),0)+IFERROR(VLOOKUP($B24,'RA6-CHPP'!$A$11:$BN$18,MATCH(Summary!R$1,'RA6-CHPP'!$A$9:$BN$9,1),FALSE),0)+IFERROR(VLOOKUP($B24,'RA7-Mine Infrastructure Area'!$A$11:$BN$18,MATCH(Summary!R$1,'RA7-Mine Infrastructure Area'!$A$9:$BN$9,1),FALSE),0)+IFERROR(VLOOKUP($B24,'RA8-Water Management Structures'!$A$11:$BN$18,MATCH(Summary!R$1,'RA8-Water Management Structures'!$A$9:$BN$9,1),FALSE),0)+IFERROR(VLOOKUP($B24,'RA9-Codisposal Upper'!$A$11:$BN$18,MATCH(Summary!R$1,'RA9-Codisposal Upper'!$A$9:$BN$9,1),FALSE),0)+IFERROR(VLOOKUP($B24,'RA10-Codisposal Slopes'!$A$11:$BN$18,MATCH(Summary!R$1,'RA10-Codisposal Slopes'!$A$9:$BN$9,1),FALSE),0)+IFERROR(VLOOKUP($B24,'IA1-Final Void inc Ramps'!$A$11:$BN$18,MATCH(Summary!R$1,'IA1-Final Void inc Ramps'!$A$9:$BN$9,1),FALSE),0)</f>
        <v>0</v>
      </c>
      <c r="S24" s="47">
        <f>IFERROR(VLOOKUP($B24,'RA1- Elevated Dumps Upper'!$A$11:$BN$18,MATCH(Summary!S$1,'RA1- Elevated Dumps Upper'!$A$9:$BN$9,1),FALSE),0)+IFERROR(VLOOKUP($B24,'RA2-Elevated Dumps Slopes'!$A$11:$BN$18,MATCH(Summary!S$1,'RA2-Elevated Dumps Slopes'!$A$9:$BN$9,1),FALSE),0)+IFERROR(VLOOKUP($B24,'RA3-Backfilled Pits'!$A$11:$BN$18,MATCH(Summary!S$1,'RA3-Backfilled Pits'!$A$9:$BN$9,1),FALSE),0)+IFERROR(VLOOKUP($B24,'RA4-Tracks_Roads'!$A$11:$BN$18,MATCH(Summary!S$1,'RA4-Tracks_Roads'!$A$9:$BN$9,1),FALSE),0)+IFERROR(VLOOKUP($B24,'RA5-ROM'!$A$11:$BN$18,MATCH(Summary!S$1,'RA5-ROM'!$A$9:$BN$9,1),FALSE),0)+IFERROR(VLOOKUP($B24,'RA6-CHPP'!$A$11:$BN$18,MATCH(Summary!S$1,'RA6-CHPP'!$A$9:$BN$9,1),FALSE),0)+IFERROR(VLOOKUP($B24,'RA7-Mine Infrastructure Area'!$A$11:$BN$18,MATCH(Summary!S$1,'RA7-Mine Infrastructure Area'!$A$9:$BN$9,1),FALSE),0)+IFERROR(VLOOKUP($B24,'RA8-Water Management Structures'!$A$11:$BN$18,MATCH(Summary!S$1,'RA8-Water Management Structures'!$A$9:$BN$9,1),FALSE),0)+IFERROR(VLOOKUP($B24,'RA9-Codisposal Upper'!$A$11:$BN$18,MATCH(Summary!S$1,'RA9-Codisposal Upper'!$A$9:$BN$9,1),FALSE),0)+IFERROR(VLOOKUP($B24,'RA10-Codisposal Slopes'!$A$11:$BN$18,MATCH(Summary!S$1,'RA10-Codisposal Slopes'!$A$9:$BN$9,1),FALSE),0)+IFERROR(VLOOKUP($B24,'IA1-Final Void inc Ramps'!$A$11:$BN$18,MATCH(Summary!S$1,'IA1-Final Void inc Ramps'!$A$9:$BN$9,1),FALSE),0)</f>
        <v>0</v>
      </c>
      <c r="T24" s="47">
        <f>IFERROR(VLOOKUP($B24,'RA1- Elevated Dumps Upper'!$A$11:$BN$18,MATCH(Summary!T$1,'RA1- Elevated Dumps Upper'!$A$9:$BN$9,1),FALSE),0)+IFERROR(VLOOKUP($B24,'RA2-Elevated Dumps Slopes'!$A$11:$BN$18,MATCH(Summary!T$1,'RA2-Elevated Dumps Slopes'!$A$9:$BN$9,1),FALSE),0)+IFERROR(VLOOKUP($B24,'RA3-Backfilled Pits'!$A$11:$BN$18,MATCH(Summary!T$1,'RA3-Backfilled Pits'!$A$9:$BN$9,1),FALSE),0)+IFERROR(VLOOKUP($B24,'RA4-Tracks_Roads'!$A$11:$BN$18,MATCH(Summary!T$1,'RA4-Tracks_Roads'!$A$9:$BN$9,1),FALSE),0)+IFERROR(VLOOKUP($B24,'RA5-ROM'!$A$11:$BN$18,MATCH(Summary!T$1,'RA5-ROM'!$A$9:$BN$9,1),FALSE),0)+IFERROR(VLOOKUP($B24,'RA6-CHPP'!$A$11:$BN$18,MATCH(Summary!T$1,'RA6-CHPP'!$A$9:$BN$9,1),FALSE),0)+IFERROR(VLOOKUP($B24,'RA7-Mine Infrastructure Area'!$A$11:$BN$18,MATCH(Summary!T$1,'RA7-Mine Infrastructure Area'!$A$9:$BN$9,1),FALSE),0)+IFERROR(VLOOKUP($B24,'RA8-Water Management Structures'!$A$11:$BN$18,MATCH(Summary!T$1,'RA8-Water Management Structures'!$A$9:$BN$9,1),FALSE),0)+IFERROR(VLOOKUP($B24,'RA9-Codisposal Upper'!$A$11:$BN$18,MATCH(Summary!T$1,'RA9-Codisposal Upper'!$A$9:$BN$9,1),FALSE),0)+IFERROR(VLOOKUP($B24,'RA10-Codisposal Slopes'!$A$11:$BN$18,MATCH(Summary!T$1,'RA10-Codisposal Slopes'!$A$9:$BN$9,1),FALSE),0)+IFERROR(VLOOKUP($B24,'IA1-Final Void inc Ramps'!$A$11:$BN$18,MATCH(Summary!T$1,'IA1-Final Void inc Ramps'!$A$9:$BN$9,1),FALSE),0)</f>
        <v>0</v>
      </c>
      <c r="U24" s="47">
        <f>IFERROR(VLOOKUP($B24,'RA1- Elevated Dumps Upper'!$A$11:$BN$18,MATCH(Summary!U$1,'RA1- Elevated Dumps Upper'!$A$9:$BN$9,1),FALSE),0)+IFERROR(VLOOKUP($B24,'RA2-Elevated Dumps Slopes'!$A$11:$BN$18,MATCH(Summary!U$1,'RA2-Elevated Dumps Slopes'!$A$9:$BN$9,1),FALSE),0)+IFERROR(VLOOKUP($B24,'RA3-Backfilled Pits'!$A$11:$BN$18,MATCH(Summary!U$1,'RA3-Backfilled Pits'!$A$9:$BN$9,1),FALSE),0)+IFERROR(VLOOKUP($B24,'RA4-Tracks_Roads'!$A$11:$BN$18,MATCH(Summary!U$1,'RA4-Tracks_Roads'!$A$9:$BN$9,1),FALSE),0)+IFERROR(VLOOKUP($B24,'RA5-ROM'!$A$11:$BN$18,MATCH(Summary!U$1,'RA5-ROM'!$A$9:$BN$9,1),FALSE),0)+IFERROR(VLOOKUP($B24,'RA6-CHPP'!$A$11:$BN$18,MATCH(Summary!U$1,'RA6-CHPP'!$A$9:$BN$9,1),FALSE),0)+IFERROR(VLOOKUP($B24,'RA7-Mine Infrastructure Area'!$A$11:$BN$18,MATCH(Summary!U$1,'RA7-Mine Infrastructure Area'!$A$9:$BN$9,1),FALSE),0)+IFERROR(VLOOKUP($B24,'RA8-Water Management Structures'!$A$11:$BN$18,MATCH(Summary!U$1,'RA8-Water Management Structures'!$A$9:$BN$9,1),FALSE),0)+IFERROR(VLOOKUP($B24,'RA9-Codisposal Upper'!$A$11:$BN$18,MATCH(Summary!U$1,'RA9-Codisposal Upper'!$A$9:$BN$9,1),FALSE),0)+IFERROR(VLOOKUP($B24,'RA10-Codisposal Slopes'!$A$11:$BN$18,MATCH(Summary!U$1,'RA10-Codisposal Slopes'!$A$9:$BN$9,1),FALSE),0)+IFERROR(VLOOKUP($B24,'IA1-Final Void inc Ramps'!$A$11:$BN$18,MATCH(Summary!U$1,'IA1-Final Void inc Ramps'!$A$9:$BN$9,1),FALSE),0)</f>
        <v>0</v>
      </c>
      <c r="V24" s="47">
        <f>IFERROR(VLOOKUP($B24,'RA1- Elevated Dumps Upper'!$A$11:$BN$18,MATCH(Summary!V$1,'RA1- Elevated Dumps Upper'!$A$9:$BN$9,1),FALSE),0)+IFERROR(VLOOKUP($B24,'RA2-Elevated Dumps Slopes'!$A$11:$BN$18,MATCH(Summary!V$1,'RA2-Elevated Dumps Slopes'!$A$9:$BN$9,1),FALSE),0)+IFERROR(VLOOKUP($B24,'RA3-Backfilled Pits'!$A$11:$BN$18,MATCH(Summary!V$1,'RA3-Backfilled Pits'!$A$9:$BN$9,1),FALSE),0)+IFERROR(VLOOKUP($B24,'RA4-Tracks_Roads'!$A$11:$BN$18,MATCH(Summary!V$1,'RA4-Tracks_Roads'!$A$9:$BN$9,1),FALSE),0)+IFERROR(VLOOKUP($B24,'RA5-ROM'!$A$11:$BN$18,MATCH(Summary!V$1,'RA5-ROM'!$A$9:$BN$9,1),FALSE),0)+IFERROR(VLOOKUP($B24,'RA6-CHPP'!$A$11:$BN$18,MATCH(Summary!V$1,'RA6-CHPP'!$A$9:$BN$9,1),FALSE),0)+IFERROR(VLOOKUP($B24,'RA7-Mine Infrastructure Area'!$A$11:$BN$18,MATCH(Summary!V$1,'RA7-Mine Infrastructure Area'!$A$9:$BN$9,1),FALSE),0)+IFERROR(VLOOKUP($B24,'RA8-Water Management Structures'!$A$11:$BN$18,MATCH(Summary!V$1,'RA8-Water Management Structures'!$A$9:$BN$9,1),FALSE),0)+IFERROR(VLOOKUP($B24,'RA9-Codisposal Upper'!$A$11:$BN$18,MATCH(Summary!V$1,'RA9-Codisposal Upper'!$A$9:$BN$9,1),FALSE),0)+IFERROR(VLOOKUP($B24,'RA10-Codisposal Slopes'!$A$11:$BN$18,MATCH(Summary!V$1,'RA10-Codisposal Slopes'!$A$9:$BN$9,1),FALSE),0)+IFERROR(VLOOKUP($B24,'IA1-Final Void inc Ramps'!$A$11:$BN$18,MATCH(Summary!V$1,'IA1-Final Void inc Ramps'!$A$9:$BN$9,1),FALSE),0)</f>
        <v>0</v>
      </c>
      <c r="W24" s="47">
        <f>IFERROR(VLOOKUP($B24,'RA1- Elevated Dumps Upper'!$A$11:$BN$18,MATCH(Summary!W$1,'RA1- Elevated Dumps Upper'!$A$9:$BN$9,1),FALSE),0)+IFERROR(VLOOKUP($B24,'RA2-Elevated Dumps Slopes'!$A$11:$BN$18,MATCH(Summary!W$1,'RA2-Elevated Dumps Slopes'!$A$9:$BN$9,1),FALSE),0)+IFERROR(VLOOKUP($B24,'RA3-Backfilled Pits'!$A$11:$BN$18,MATCH(Summary!W$1,'RA3-Backfilled Pits'!$A$9:$BN$9,1),FALSE),0)+IFERROR(VLOOKUP($B24,'RA4-Tracks_Roads'!$A$11:$BN$18,MATCH(Summary!W$1,'RA4-Tracks_Roads'!$A$9:$BN$9,1),FALSE),0)+IFERROR(VLOOKUP($B24,'RA5-ROM'!$A$11:$BN$18,MATCH(Summary!W$1,'RA5-ROM'!$A$9:$BN$9,1),FALSE),0)+IFERROR(VLOOKUP($B24,'RA6-CHPP'!$A$11:$BN$18,MATCH(Summary!W$1,'RA6-CHPP'!$A$9:$BN$9,1),FALSE),0)+IFERROR(VLOOKUP($B24,'RA7-Mine Infrastructure Area'!$A$11:$BN$18,MATCH(Summary!W$1,'RA7-Mine Infrastructure Area'!$A$9:$BN$9,1),FALSE),0)+IFERROR(VLOOKUP($B24,'RA8-Water Management Structures'!$A$11:$BN$18,MATCH(Summary!W$1,'RA8-Water Management Structures'!$A$9:$BN$9,1),FALSE),0)+IFERROR(VLOOKUP($B24,'RA9-Codisposal Upper'!$A$11:$BN$18,MATCH(Summary!W$1,'RA9-Codisposal Upper'!$A$9:$BN$9,1),FALSE),0)+IFERROR(VLOOKUP($B24,'RA10-Codisposal Slopes'!$A$11:$BN$18,MATCH(Summary!W$1,'RA10-Codisposal Slopes'!$A$9:$BN$9,1),FALSE),0)+IFERROR(VLOOKUP($B24,'IA1-Final Void inc Ramps'!$A$11:$BN$18,MATCH(Summary!W$1,'IA1-Final Void inc Ramps'!$A$9:$BN$9,1),FALSE),0)</f>
        <v>0</v>
      </c>
      <c r="X24" s="47">
        <f>IFERROR(VLOOKUP($B24,'RA1- Elevated Dumps Upper'!$A$11:$BN$18,MATCH(Summary!X$1,'RA1- Elevated Dumps Upper'!$A$9:$BN$9,1),FALSE),0)+IFERROR(VLOOKUP($B24,'RA2-Elevated Dumps Slopes'!$A$11:$BN$18,MATCH(Summary!X$1,'RA2-Elevated Dumps Slopes'!$A$9:$BN$9,1),FALSE),0)+IFERROR(VLOOKUP($B24,'RA3-Backfilled Pits'!$A$11:$BN$18,MATCH(Summary!X$1,'RA3-Backfilled Pits'!$A$9:$BN$9,1),FALSE),0)+IFERROR(VLOOKUP($B24,'RA4-Tracks_Roads'!$A$11:$BN$18,MATCH(Summary!X$1,'RA4-Tracks_Roads'!$A$9:$BN$9,1),FALSE),0)+IFERROR(VLOOKUP($B24,'RA5-ROM'!$A$11:$BN$18,MATCH(Summary!X$1,'RA5-ROM'!$A$9:$BN$9,1),FALSE),0)+IFERROR(VLOOKUP($B24,'RA6-CHPP'!$A$11:$BN$18,MATCH(Summary!X$1,'RA6-CHPP'!$A$9:$BN$9,1),FALSE),0)+IFERROR(VLOOKUP($B24,'RA7-Mine Infrastructure Area'!$A$11:$BN$18,MATCH(Summary!X$1,'RA7-Mine Infrastructure Area'!$A$9:$BN$9,1),FALSE),0)+IFERROR(VLOOKUP($B24,'RA8-Water Management Structures'!$A$11:$BN$18,MATCH(Summary!X$1,'RA8-Water Management Structures'!$A$9:$BN$9,1),FALSE),0)+IFERROR(VLOOKUP($B24,'RA9-Codisposal Upper'!$A$11:$BN$18,MATCH(Summary!X$1,'RA9-Codisposal Upper'!$A$9:$BN$9,1),FALSE),0)+IFERROR(VLOOKUP($B24,'RA10-Codisposal Slopes'!$A$11:$BN$18,MATCH(Summary!X$1,'RA10-Codisposal Slopes'!$A$9:$BN$9,1),FALSE),0)+IFERROR(VLOOKUP($B24,'IA1-Final Void inc Ramps'!$A$11:$BN$18,MATCH(Summary!X$1,'IA1-Final Void inc Ramps'!$A$9:$BN$9,1),FALSE),0)</f>
        <v>0</v>
      </c>
      <c r="Y24" s="47">
        <f>IFERROR(VLOOKUP($B24,'RA1- Elevated Dumps Upper'!$A$11:$BN$18,MATCH(Summary!Y$1,'RA1- Elevated Dumps Upper'!$A$9:$BN$9,1),FALSE),0)+IFERROR(VLOOKUP($B24,'RA2-Elevated Dumps Slopes'!$A$11:$BN$18,MATCH(Summary!Y$1,'RA2-Elevated Dumps Slopes'!$A$9:$BN$9,1),FALSE),0)+IFERROR(VLOOKUP($B24,'RA3-Backfilled Pits'!$A$11:$BN$18,MATCH(Summary!Y$1,'RA3-Backfilled Pits'!$A$9:$BN$9,1),FALSE),0)+IFERROR(VLOOKUP($B24,'RA4-Tracks_Roads'!$A$11:$BN$18,MATCH(Summary!Y$1,'RA4-Tracks_Roads'!$A$9:$BN$9,1),FALSE),0)+IFERROR(VLOOKUP($B24,'RA5-ROM'!$A$11:$BN$18,MATCH(Summary!Y$1,'RA5-ROM'!$A$9:$BN$9,1),FALSE),0)+IFERROR(VLOOKUP($B24,'RA6-CHPP'!$A$11:$BN$18,MATCH(Summary!Y$1,'RA6-CHPP'!$A$9:$BN$9,1),FALSE),0)+IFERROR(VLOOKUP($B24,'RA7-Mine Infrastructure Area'!$A$11:$BN$18,MATCH(Summary!Y$1,'RA7-Mine Infrastructure Area'!$A$9:$BN$9,1),FALSE),0)+IFERROR(VLOOKUP($B24,'RA8-Water Management Structures'!$A$11:$BN$18,MATCH(Summary!Y$1,'RA8-Water Management Structures'!$A$9:$BN$9,1),FALSE),0)+IFERROR(VLOOKUP($B24,'RA9-Codisposal Upper'!$A$11:$BN$18,MATCH(Summary!Y$1,'RA9-Codisposal Upper'!$A$9:$BN$9,1),FALSE),0)+IFERROR(VLOOKUP($B24,'RA10-Codisposal Slopes'!$A$11:$BN$18,MATCH(Summary!Y$1,'RA10-Codisposal Slopes'!$A$9:$BN$9,1),FALSE),0)+IFERROR(VLOOKUP($B24,'IA1-Final Void inc Ramps'!$A$11:$BN$18,MATCH(Summary!Y$1,'IA1-Final Void inc Ramps'!$A$9:$BN$9,1),FALSE),0)</f>
        <v>0</v>
      </c>
      <c r="Z24" s="47">
        <f>IFERROR(VLOOKUP($B24,'RA1- Elevated Dumps Upper'!$A$11:$BN$18,MATCH(Summary!Z$1,'RA1- Elevated Dumps Upper'!$A$9:$BN$9,1),FALSE),0)+IFERROR(VLOOKUP($B24,'RA2-Elevated Dumps Slopes'!$A$11:$BN$18,MATCH(Summary!Z$1,'RA2-Elevated Dumps Slopes'!$A$9:$BN$9,1),FALSE),0)+IFERROR(VLOOKUP($B24,'RA3-Backfilled Pits'!$A$11:$BN$18,MATCH(Summary!Z$1,'RA3-Backfilled Pits'!$A$9:$BN$9,1),FALSE),0)+IFERROR(VLOOKUP($B24,'RA4-Tracks_Roads'!$A$11:$BN$18,MATCH(Summary!Z$1,'RA4-Tracks_Roads'!$A$9:$BN$9,1),FALSE),0)+IFERROR(VLOOKUP($B24,'RA5-ROM'!$A$11:$BN$18,MATCH(Summary!Z$1,'RA5-ROM'!$A$9:$BN$9,1),FALSE),0)+IFERROR(VLOOKUP($B24,'RA6-CHPP'!$A$11:$BN$18,MATCH(Summary!Z$1,'RA6-CHPP'!$A$9:$BN$9,1),FALSE),0)+IFERROR(VLOOKUP($B24,'RA7-Mine Infrastructure Area'!$A$11:$BN$18,MATCH(Summary!Z$1,'RA7-Mine Infrastructure Area'!$A$9:$BN$9,1),FALSE),0)+IFERROR(VLOOKUP($B24,'RA8-Water Management Structures'!$A$11:$BN$18,MATCH(Summary!Z$1,'RA8-Water Management Structures'!$A$9:$BN$9,1),FALSE),0)+IFERROR(VLOOKUP($B24,'RA9-Codisposal Upper'!$A$11:$BN$18,MATCH(Summary!Z$1,'RA9-Codisposal Upper'!$A$9:$BN$9,1),FALSE),0)+IFERROR(VLOOKUP($B24,'RA10-Codisposal Slopes'!$A$11:$BN$18,MATCH(Summary!Z$1,'RA10-Codisposal Slopes'!$A$9:$BN$9,1),FALSE),0)+IFERROR(VLOOKUP($B24,'IA1-Final Void inc Ramps'!$A$11:$BN$18,MATCH(Summary!Z$1,'IA1-Final Void inc Ramps'!$A$9:$BN$9,1),FALSE),0)</f>
        <v>0</v>
      </c>
      <c r="AA24" s="47">
        <f>IFERROR(VLOOKUP($B24,'RA1- Elevated Dumps Upper'!$A$11:$BN$18,MATCH(Summary!AA$1,'RA1- Elevated Dumps Upper'!$A$9:$BN$9,1),FALSE),0)+IFERROR(VLOOKUP($B24,'RA2-Elevated Dumps Slopes'!$A$11:$BN$18,MATCH(Summary!AA$1,'RA2-Elevated Dumps Slopes'!$A$9:$BN$9,1),FALSE),0)+IFERROR(VLOOKUP($B24,'RA3-Backfilled Pits'!$A$11:$BN$18,MATCH(Summary!AA$1,'RA3-Backfilled Pits'!$A$9:$BN$9,1),FALSE),0)+IFERROR(VLOOKUP($B24,'RA4-Tracks_Roads'!$A$11:$BN$18,MATCH(Summary!AA$1,'RA4-Tracks_Roads'!$A$9:$BN$9,1),FALSE),0)+IFERROR(VLOOKUP($B24,'RA5-ROM'!$A$11:$BN$18,MATCH(Summary!AA$1,'RA5-ROM'!$A$9:$BN$9,1),FALSE),0)+IFERROR(VLOOKUP($B24,'RA6-CHPP'!$A$11:$BN$18,MATCH(Summary!AA$1,'RA6-CHPP'!$A$9:$BN$9,1),FALSE),0)+IFERROR(VLOOKUP($B24,'RA7-Mine Infrastructure Area'!$A$11:$BN$18,MATCH(Summary!AA$1,'RA7-Mine Infrastructure Area'!$A$9:$BN$9,1),FALSE),0)+IFERROR(VLOOKUP($B24,'RA8-Water Management Structures'!$A$11:$BN$18,MATCH(Summary!AA$1,'RA8-Water Management Structures'!$A$9:$BN$9,1),FALSE),0)+IFERROR(VLOOKUP($B24,'RA9-Codisposal Upper'!$A$11:$BN$18,MATCH(Summary!AA$1,'RA9-Codisposal Upper'!$A$9:$BN$9,1),FALSE),0)+IFERROR(VLOOKUP($B24,'RA10-Codisposal Slopes'!$A$11:$BN$18,MATCH(Summary!AA$1,'RA10-Codisposal Slopes'!$A$9:$BN$9,1),FALSE),0)+IFERROR(VLOOKUP($B24,'IA1-Final Void inc Ramps'!$A$11:$BN$18,MATCH(Summary!AA$1,'IA1-Final Void inc Ramps'!$A$9:$BN$9,1),FALSE),0)</f>
        <v>0</v>
      </c>
      <c r="AB24" s="47">
        <f>IFERROR(VLOOKUP($B24,'RA1- Elevated Dumps Upper'!$A$11:$BN$18,MATCH(Summary!AB$1,'RA1- Elevated Dumps Upper'!$A$9:$BN$9,1),FALSE),0)+IFERROR(VLOOKUP($B24,'RA2-Elevated Dumps Slopes'!$A$11:$BN$18,MATCH(Summary!AB$1,'RA2-Elevated Dumps Slopes'!$A$9:$BN$9,1),FALSE),0)+IFERROR(VLOOKUP($B24,'RA3-Backfilled Pits'!$A$11:$BN$18,MATCH(Summary!AB$1,'RA3-Backfilled Pits'!$A$9:$BN$9,1),FALSE),0)+IFERROR(VLOOKUP($B24,'RA4-Tracks_Roads'!$A$11:$BN$18,MATCH(Summary!AB$1,'RA4-Tracks_Roads'!$A$9:$BN$9,1),FALSE),0)+IFERROR(VLOOKUP($B24,'RA5-ROM'!$A$11:$BN$18,MATCH(Summary!AB$1,'RA5-ROM'!$A$9:$BN$9,1),FALSE),0)+IFERROR(VLOOKUP($B24,'RA6-CHPP'!$A$11:$BN$18,MATCH(Summary!AB$1,'RA6-CHPP'!$A$9:$BN$9,1),FALSE),0)+IFERROR(VLOOKUP($B24,'RA7-Mine Infrastructure Area'!$A$11:$BN$18,MATCH(Summary!AB$1,'RA7-Mine Infrastructure Area'!$A$9:$BN$9,1),FALSE),0)+IFERROR(VLOOKUP($B24,'RA8-Water Management Structures'!$A$11:$BN$18,MATCH(Summary!AB$1,'RA8-Water Management Structures'!$A$9:$BN$9,1),FALSE),0)+IFERROR(VLOOKUP($B24,'RA9-Codisposal Upper'!$A$11:$BN$18,MATCH(Summary!AB$1,'RA9-Codisposal Upper'!$A$9:$BN$9,1),FALSE),0)+IFERROR(VLOOKUP($B24,'RA10-Codisposal Slopes'!$A$11:$BN$18,MATCH(Summary!AB$1,'RA10-Codisposal Slopes'!$A$9:$BN$9,1),FALSE),0)+IFERROR(VLOOKUP($B24,'IA1-Final Void inc Ramps'!$A$11:$BN$18,MATCH(Summary!AB$1,'IA1-Final Void inc Ramps'!$A$9:$BN$9,1),FALSE),0)</f>
        <v>0</v>
      </c>
      <c r="AC24" s="47">
        <f>IFERROR(VLOOKUP($B24,'RA1- Elevated Dumps Upper'!$A$11:$BN$18,MATCH(Summary!AC$1,'RA1- Elevated Dumps Upper'!$A$9:$BN$9,1),FALSE),0)+IFERROR(VLOOKUP($B24,'RA2-Elevated Dumps Slopes'!$A$11:$BN$18,MATCH(Summary!AC$1,'RA2-Elevated Dumps Slopes'!$A$9:$BN$9,1),FALSE),0)+IFERROR(VLOOKUP($B24,'RA3-Backfilled Pits'!$A$11:$BN$18,MATCH(Summary!AC$1,'RA3-Backfilled Pits'!$A$9:$BN$9,1),FALSE),0)+IFERROR(VLOOKUP($B24,'RA4-Tracks_Roads'!$A$11:$BN$18,MATCH(Summary!AC$1,'RA4-Tracks_Roads'!$A$9:$BN$9,1),FALSE),0)+IFERROR(VLOOKUP($B24,'RA5-ROM'!$A$11:$BN$18,MATCH(Summary!AC$1,'RA5-ROM'!$A$9:$BN$9,1),FALSE),0)+IFERROR(VLOOKUP($B24,'RA6-CHPP'!$A$11:$BN$18,MATCH(Summary!AC$1,'RA6-CHPP'!$A$9:$BN$9,1),FALSE),0)+IFERROR(VLOOKUP($B24,'RA7-Mine Infrastructure Area'!$A$11:$BN$18,MATCH(Summary!AC$1,'RA7-Mine Infrastructure Area'!$A$9:$BN$9,1),FALSE),0)+IFERROR(VLOOKUP($B24,'RA8-Water Management Structures'!$A$11:$BN$18,MATCH(Summary!AC$1,'RA8-Water Management Structures'!$A$9:$BN$9,1),FALSE),0)+IFERROR(VLOOKUP($B24,'RA9-Codisposal Upper'!$A$11:$BN$18,MATCH(Summary!AC$1,'RA9-Codisposal Upper'!$A$9:$BN$9,1),FALSE),0)+IFERROR(VLOOKUP($B24,'RA10-Codisposal Slopes'!$A$11:$BN$18,MATCH(Summary!AC$1,'RA10-Codisposal Slopes'!$A$9:$BN$9,1),FALSE),0)+IFERROR(VLOOKUP($B24,'IA1-Final Void inc Ramps'!$A$11:$BN$18,MATCH(Summary!AC$1,'IA1-Final Void inc Ramps'!$A$9:$BN$9,1),FALSE),0)</f>
        <v>0</v>
      </c>
      <c r="AD24" s="47">
        <f>IFERROR(VLOOKUP($B24,'RA1- Elevated Dumps Upper'!$A$11:$BN$18,MATCH(Summary!AD$1,'RA1- Elevated Dumps Upper'!$A$9:$BN$9,1),FALSE),0)+IFERROR(VLOOKUP($B24,'RA2-Elevated Dumps Slopes'!$A$11:$BN$18,MATCH(Summary!AD$1,'RA2-Elevated Dumps Slopes'!$A$9:$BN$9,1),FALSE),0)+IFERROR(VLOOKUP($B24,'RA3-Backfilled Pits'!$A$11:$BN$18,MATCH(Summary!AD$1,'RA3-Backfilled Pits'!$A$9:$BN$9,1),FALSE),0)+IFERROR(VLOOKUP($B24,'RA4-Tracks_Roads'!$A$11:$BN$18,MATCH(Summary!AD$1,'RA4-Tracks_Roads'!$A$9:$BN$9,1),FALSE),0)+IFERROR(VLOOKUP($B24,'RA5-ROM'!$A$11:$BN$18,MATCH(Summary!AD$1,'RA5-ROM'!$A$9:$BN$9,1),FALSE),0)+IFERROR(VLOOKUP($B24,'RA6-CHPP'!$A$11:$BN$18,MATCH(Summary!AD$1,'RA6-CHPP'!$A$9:$BN$9,1),FALSE),0)+IFERROR(VLOOKUP($B24,'RA7-Mine Infrastructure Area'!$A$11:$BN$18,MATCH(Summary!AD$1,'RA7-Mine Infrastructure Area'!$A$9:$BN$9,1),FALSE),0)+IFERROR(VLOOKUP($B24,'RA8-Water Management Structures'!$A$11:$BN$18,MATCH(Summary!AD$1,'RA8-Water Management Structures'!$A$9:$BN$9,1),FALSE),0)+IFERROR(VLOOKUP($B24,'RA9-Codisposal Upper'!$A$11:$BN$18,MATCH(Summary!AD$1,'RA9-Codisposal Upper'!$A$9:$BN$9,1),FALSE),0)+IFERROR(VLOOKUP($B24,'RA10-Codisposal Slopes'!$A$11:$BN$18,MATCH(Summary!AD$1,'RA10-Codisposal Slopes'!$A$9:$BN$9,1),FALSE),0)+IFERROR(VLOOKUP($B24,'IA1-Final Void inc Ramps'!$A$11:$BN$18,MATCH(Summary!AD$1,'IA1-Final Void inc Ramps'!$A$9:$BN$9,1),FALSE),0)</f>
        <v>0</v>
      </c>
      <c r="AE24" s="47">
        <f>IFERROR(VLOOKUP($B24,'RA1- Elevated Dumps Upper'!$A$11:$BN$18,MATCH(Summary!AE$1,'RA1- Elevated Dumps Upper'!$A$9:$BN$9,1),FALSE),0)+IFERROR(VLOOKUP($B24,'RA2-Elevated Dumps Slopes'!$A$11:$BN$18,MATCH(Summary!AE$1,'RA2-Elevated Dumps Slopes'!$A$9:$BN$9,1),FALSE),0)+IFERROR(VLOOKUP($B24,'RA3-Backfilled Pits'!$A$11:$BN$18,MATCH(Summary!AE$1,'RA3-Backfilled Pits'!$A$9:$BN$9,1),FALSE),0)+IFERROR(VLOOKUP($B24,'RA4-Tracks_Roads'!$A$11:$BN$18,MATCH(Summary!AE$1,'RA4-Tracks_Roads'!$A$9:$BN$9,1),FALSE),0)+IFERROR(VLOOKUP($B24,'RA5-ROM'!$A$11:$BN$18,MATCH(Summary!AE$1,'RA5-ROM'!$A$9:$BN$9,1),FALSE),0)+IFERROR(VLOOKUP($B24,'RA6-CHPP'!$A$11:$BN$18,MATCH(Summary!AE$1,'RA6-CHPP'!$A$9:$BN$9,1),FALSE),0)+IFERROR(VLOOKUP($B24,'RA7-Mine Infrastructure Area'!$A$11:$BN$18,MATCH(Summary!AE$1,'RA7-Mine Infrastructure Area'!$A$9:$BN$9,1),FALSE),0)+IFERROR(VLOOKUP($B24,'RA8-Water Management Structures'!$A$11:$BN$18,MATCH(Summary!AE$1,'RA8-Water Management Structures'!$A$9:$BN$9,1),FALSE),0)+IFERROR(VLOOKUP($B24,'RA9-Codisposal Upper'!$A$11:$BN$18,MATCH(Summary!AE$1,'RA9-Codisposal Upper'!$A$9:$BN$9,1),FALSE),0)+IFERROR(VLOOKUP($B24,'RA10-Codisposal Slopes'!$A$11:$BN$18,MATCH(Summary!AE$1,'RA10-Codisposal Slopes'!$A$9:$BN$9,1),FALSE),0)+IFERROR(VLOOKUP($B24,'IA1-Final Void inc Ramps'!$A$11:$BN$18,MATCH(Summary!AE$1,'IA1-Final Void inc Ramps'!$A$9:$BN$9,1),FALSE),0)</f>
        <v>171.56</v>
      </c>
      <c r="AF24" s="47">
        <f>IFERROR(VLOOKUP($B24,'RA1- Elevated Dumps Upper'!$A$11:$BN$18,MATCH(Summary!AF$1,'RA1- Elevated Dumps Upper'!$A$9:$BN$9,1),FALSE),0)+IFERROR(VLOOKUP($B24,'RA2-Elevated Dumps Slopes'!$A$11:$BN$18,MATCH(Summary!AF$1,'RA2-Elevated Dumps Slopes'!$A$9:$BN$9,1),FALSE),0)+IFERROR(VLOOKUP($B24,'RA3-Backfilled Pits'!$A$11:$BN$18,MATCH(Summary!AF$1,'RA3-Backfilled Pits'!$A$9:$BN$9,1),FALSE),0)+IFERROR(VLOOKUP($B24,'RA4-Tracks_Roads'!$A$11:$BN$18,MATCH(Summary!AF$1,'RA4-Tracks_Roads'!$A$9:$BN$9,1),FALSE),0)+IFERROR(VLOOKUP($B24,'RA5-ROM'!$A$11:$BN$18,MATCH(Summary!AF$1,'RA5-ROM'!$A$9:$BN$9,1),FALSE),0)+IFERROR(VLOOKUP($B24,'RA6-CHPP'!$A$11:$BN$18,MATCH(Summary!AF$1,'RA6-CHPP'!$A$9:$BN$9,1),FALSE),0)+IFERROR(VLOOKUP($B24,'RA7-Mine Infrastructure Area'!$A$11:$BN$18,MATCH(Summary!AF$1,'RA7-Mine Infrastructure Area'!$A$9:$BN$9,1),FALSE),0)+IFERROR(VLOOKUP($B24,'RA8-Water Management Structures'!$A$11:$BN$18,MATCH(Summary!AF$1,'RA8-Water Management Structures'!$A$9:$BN$9,1),FALSE),0)+IFERROR(VLOOKUP($B24,'RA9-Codisposal Upper'!$A$11:$BN$18,MATCH(Summary!AF$1,'RA9-Codisposal Upper'!$A$9:$BN$9,1),FALSE),0)+IFERROR(VLOOKUP($B24,'RA10-Codisposal Slopes'!$A$11:$BN$18,MATCH(Summary!AF$1,'RA10-Codisposal Slopes'!$A$9:$BN$9,1),FALSE),0)+IFERROR(VLOOKUP($B24,'IA1-Final Void inc Ramps'!$A$11:$BN$18,MATCH(Summary!AF$1,'IA1-Final Void inc Ramps'!$A$9:$BN$9,1),FALSE),0)</f>
        <v>171.56</v>
      </c>
      <c r="AG24" s="47">
        <f>IFERROR(VLOOKUP($B24,'RA1- Elevated Dumps Upper'!$A$11:$BN$18,MATCH(Summary!AG$1,'RA1- Elevated Dumps Upper'!$A$9:$BN$9,1),FALSE),0)+IFERROR(VLOOKUP($B24,'RA2-Elevated Dumps Slopes'!$A$11:$BN$18,MATCH(Summary!AG$1,'RA2-Elevated Dumps Slopes'!$A$9:$BN$9,1),FALSE),0)+IFERROR(VLOOKUP($B24,'RA3-Backfilled Pits'!$A$11:$BN$18,MATCH(Summary!AG$1,'RA3-Backfilled Pits'!$A$9:$BN$9,1),FALSE),0)+IFERROR(VLOOKUP($B24,'RA4-Tracks_Roads'!$A$11:$BN$18,MATCH(Summary!AG$1,'RA4-Tracks_Roads'!$A$9:$BN$9,1),FALSE),0)+IFERROR(VLOOKUP($B24,'RA5-ROM'!$A$11:$BN$18,MATCH(Summary!AG$1,'RA5-ROM'!$A$9:$BN$9,1),FALSE),0)+IFERROR(VLOOKUP($B24,'RA6-CHPP'!$A$11:$BN$18,MATCH(Summary!AG$1,'RA6-CHPP'!$A$9:$BN$9,1),FALSE),0)+IFERROR(VLOOKUP($B24,'RA7-Mine Infrastructure Area'!$A$11:$BN$18,MATCH(Summary!AG$1,'RA7-Mine Infrastructure Area'!$A$9:$BN$9,1),FALSE),0)+IFERROR(VLOOKUP($B24,'RA8-Water Management Structures'!$A$11:$BN$18,MATCH(Summary!AG$1,'RA8-Water Management Structures'!$A$9:$BN$9,1),FALSE),0)+IFERROR(VLOOKUP($B24,'RA9-Codisposal Upper'!$A$11:$BN$18,MATCH(Summary!AG$1,'RA9-Codisposal Upper'!$A$9:$BN$9,1),FALSE),0)+IFERROR(VLOOKUP($B24,'RA10-Codisposal Slopes'!$A$11:$BN$18,MATCH(Summary!AG$1,'RA10-Codisposal Slopes'!$A$9:$BN$9,1),FALSE),0)+IFERROR(VLOOKUP($B24,'IA1-Final Void inc Ramps'!$A$11:$BN$18,MATCH(Summary!AG$1,'IA1-Final Void inc Ramps'!$A$9:$BN$9,1),FALSE),0)</f>
        <v>171.56</v>
      </c>
      <c r="AH24" s="47">
        <f>IFERROR(VLOOKUP($B24,'RA1- Elevated Dumps Upper'!$A$11:$BN$18,MATCH(Summary!AH$1,'RA1- Elevated Dumps Upper'!$A$9:$BN$9,1),FALSE),0)+IFERROR(VLOOKUP($B24,'RA2-Elevated Dumps Slopes'!$A$11:$BN$18,MATCH(Summary!AH$1,'RA2-Elevated Dumps Slopes'!$A$9:$BN$9,1),FALSE),0)+IFERROR(VLOOKUP($B24,'RA3-Backfilled Pits'!$A$11:$BN$18,MATCH(Summary!AH$1,'RA3-Backfilled Pits'!$A$9:$BN$9,1),FALSE),0)+IFERROR(VLOOKUP($B24,'RA4-Tracks_Roads'!$A$11:$BN$18,MATCH(Summary!AH$1,'RA4-Tracks_Roads'!$A$9:$BN$9,1),FALSE),0)+IFERROR(VLOOKUP($B24,'RA5-ROM'!$A$11:$BN$18,MATCH(Summary!AH$1,'RA5-ROM'!$A$9:$BN$9,1),FALSE),0)+IFERROR(VLOOKUP($B24,'RA6-CHPP'!$A$11:$BN$18,MATCH(Summary!AH$1,'RA6-CHPP'!$A$9:$BN$9,1),FALSE),0)+IFERROR(VLOOKUP($B24,'RA7-Mine Infrastructure Area'!$A$11:$BN$18,MATCH(Summary!AH$1,'RA7-Mine Infrastructure Area'!$A$9:$BN$9,1),FALSE),0)+IFERROR(VLOOKUP($B24,'RA8-Water Management Structures'!$A$11:$BN$18,MATCH(Summary!AH$1,'RA8-Water Management Structures'!$A$9:$BN$9,1),FALSE),0)+IFERROR(VLOOKUP($B24,'RA9-Codisposal Upper'!$A$11:$BN$18,MATCH(Summary!AH$1,'RA9-Codisposal Upper'!$A$9:$BN$9,1),FALSE),0)+IFERROR(VLOOKUP($B24,'RA10-Codisposal Slopes'!$A$11:$BN$18,MATCH(Summary!AH$1,'RA10-Codisposal Slopes'!$A$9:$BN$9,1),FALSE),0)+IFERROR(VLOOKUP($B24,'IA1-Final Void inc Ramps'!$A$11:$BN$18,MATCH(Summary!AH$1,'IA1-Final Void inc Ramps'!$A$9:$BN$9,1),FALSE),0)</f>
        <v>171.56</v>
      </c>
      <c r="AI24" s="47">
        <f>IFERROR(VLOOKUP($B24,'RA1- Elevated Dumps Upper'!$A$11:$BN$18,MATCH(Summary!AI$1,'RA1- Elevated Dumps Upper'!$A$9:$BN$9,1),FALSE),0)+IFERROR(VLOOKUP($B24,'RA2-Elevated Dumps Slopes'!$A$11:$BN$18,MATCH(Summary!AI$1,'RA2-Elevated Dumps Slopes'!$A$9:$BN$9,1),FALSE),0)+IFERROR(VLOOKUP($B24,'RA3-Backfilled Pits'!$A$11:$BN$18,MATCH(Summary!AI$1,'RA3-Backfilled Pits'!$A$9:$BN$9,1),FALSE),0)+IFERROR(VLOOKUP($B24,'RA4-Tracks_Roads'!$A$11:$BN$18,MATCH(Summary!AI$1,'RA4-Tracks_Roads'!$A$9:$BN$9,1),FALSE),0)+IFERROR(VLOOKUP($B24,'RA5-ROM'!$A$11:$BN$18,MATCH(Summary!AI$1,'RA5-ROM'!$A$9:$BN$9,1),FALSE),0)+IFERROR(VLOOKUP($B24,'RA6-CHPP'!$A$11:$BN$18,MATCH(Summary!AI$1,'RA6-CHPP'!$A$9:$BN$9,1),FALSE),0)+IFERROR(VLOOKUP($B24,'RA7-Mine Infrastructure Area'!$A$11:$BN$18,MATCH(Summary!AI$1,'RA7-Mine Infrastructure Area'!$A$9:$BN$9,1),FALSE),0)+IFERROR(VLOOKUP($B24,'RA8-Water Management Structures'!$A$11:$BN$18,MATCH(Summary!AI$1,'RA8-Water Management Structures'!$A$9:$BN$9,1),FALSE),0)+IFERROR(VLOOKUP($B24,'RA9-Codisposal Upper'!$A$11:$BN$18,MATCH(Summary!AI$1,'RA9-Codisposal Upper'!$A$9:$BN$9,1),FALSE),0)+IFERROR(VLOOKUP($B24,'RA10-Codisposal Slopes'!$A$11:$BN$18,MATCH(Summary!AI$1,'RA10-Codisposal Slopes'!$A$9:$BN$9,1),FALSE),0)+IFERROR(VLOOKUP($B24,'IA1-Final Void inc Ramps'!$A$11:$BN$18,MATCH(Summary!AI$1,'IA1-Final Void inc Ramps'!$A$9:$BN$9,1),FALSE),0)</f>
        <v>171.56</v>
      </c>
      <c r="AJ24" s="47">
        <f>IFERROR(VLOOKUP($B24,'RA1- Elevated Dumps Upper'!$A$11:$BN$18,MATCH(Summary!AJ$1,'RA1- Elevated Dumps Upper'!$A$9:$BN$9,1),FALSE),0)+IFERROR(VLOOKUP($B24,'RA2-Elevated Dumps Slopes'!$A$11:$BN$18,MATCH(Summary!AJ$1,'RA2-Elevated Dumps Slopes'!$A$9:$BN$9,1),FALSE),0)+IFERROR(VLOOKUP($B24,'RA3-Backfilled Pits'!$A$11:$BN$18,MATCH(Summary!AJ$1,'RA3-Backfilled Pits'!$A$9:$BN$9,1),FALSE),0)+IFERROR(VLOOKUP($B24,'RA4-Tracks_Roads'!$A$11:$BN$18,MATCH(Summary!AJ$1,'RA4-Tracks_Roads'!$A$9:$BN$9,1),FALSE),0)+IFERROR(VLOOKUP($B24,'RA5-ROM'!$A$11:$BN$18,MATCH(Summary!AJ$1,'RA5-ROM'!$A$9:$BN$9,1),FALSE),0)+IFERROR(VLOOKUP($B24,'RA6-CHPP'!$A$11:$BN$18,MATCH(Summary!AJ$1,'RA6-CHPP'!$A$9:$BN$9,1),FALSE),0)+IFERROR(VLOOKUP($B24,'RA7-Mine Infrastructure Area'!$A$11:$BN$18,MATCH(Summary!AJ$1,'RA7-Mine Infrastructure Area'!$A$9:$BN$9,1),FALSE),0)+IFERROR(VLOOKUP($B24,'RA8-Water Management Structures'!$A$11:$BN$18,MATCH(Summary!AJ$1,'RA8-Water Management Structures'!$A$9:$BN$9,1),FALSE),0)+IFERROR(VLOOKUP($B24,'RA9-Codisposal Upper'!$A$11:$BN$18,MATCH(Summary!AJ$1,'RA9-Codisposal Upper'!$A$9:$BN$9,1),FALSE),0)+IFERROR(VLOOKUP($B24,'RA10-Codisposal Slopes'!$A$11:$BN$18,MATCH(Summary!AJ$1,'RA10-Codisposal Slopes'!$A$9:$BN$9,1),FALSE),0)+IFERROR(VLOOKUP($B24,'IA1-Final Void inc Ramps'!$A$11:$BN$18,MATCH(Summary!AJ$1,'IA1-Final Void inc Ramps'!$A$9:$BN$9,1),FALSE),0)</f>
        <v>171.56</v>
      </c>
      <c r="AK24" s="47">
        <f>IFERROR(VLOOKUP($B24,'RA1- Elevated Dumps Upper'!$A$11:$BN$18,MATCH(Summary!AK$1,'RA1- Elevated Dumps Upper'!$A$9:$BN$9,1),FALSE),0)+IFERROR(VLOOKUP($B24,'RA2-Elevated Dumps Slopes'!$A$11:$BN$18,MATCH(Summary!AK$1,'RA2-Elevated Dumps Slopes'!$A$9:$BN$9,1),FALSE),0)+IFERROR(VLOOKUP($B24,'RA3-Backfilled Pits'!$A$11:$BN$18,MATCH(Summary!AK$1,'RA3-Backfilled Pits'!$A$9:$BN$9,1),FALSE),0)+IFERROR(VLOOKUP($B24,'RA4-Tracks_Roads'!$A$11:$BN$18,MATCH(Summary!AK$1,'RA4-Tracks_Roads'!$A$9:$BN$9,1),FALSE),0)+IFERROR(VLOOKUP($B24,'RA5-ROM'!$A$11:$BN$18,MATCH(Summary!AK$1,'RA5-ROM'!$A$9:$BN$9,1),FALSE),0)+IFERROR(VLOOKUP($B24,'RA6-CHPP'!$A$11:$BN$18,MATCH(Summary!AK$1,'RA6-CHPP'!$A$9:$BN$9,1),FALSE),0)+IFERROR(VLOOKUP($B24,'RA7-Mine Infrastructure Area'!$A$11:$BN$18,MATCH(Summary!AK$1,'RA7-Mine Infrastructure Area'!$A$9:$BN$9,1),FALSE),0)+IFERROR(VLOOKUP($B24,'RA8-Water Management Structures'!$A$11:$BN$18,MATCH(Summary!AK$1,'RA8-Water Management Structures'!$A$9:$BN$9,1),FALSE),0)+IFERROR(VLOOKUP($B24,'RA9-Codisposal Upper'!$A$11:$BN$18,MATCH(Summary!AK$1,'RA9-Codisposal Upper'!$A$9:$BN$9,1),FALSE),0)+IFERROR(VLOOKUP($B24,'RA10-Codisposal Slopes'!$A$11:$BN$18,MATCH(Summary!AK$1,'RA10-Codisposal Slopes'!$A$9:$BN$9,1),FALSE),0)+IFERROR(VLOOKUP($B24,'IA1-Final Void inc Ramps'!$A$11:$BN$18,MATCH(Summary!AK$1,'IA1-Final Void inc Ramps'!$A$9:$BN$9,1),FALSE),0)</f>
        <v>171.56</v>
      </c>
      <c r="AL24" s="47">
        <f>IFERROR(VLOOKUP($B24,'RA1- Elevated Dumps Upper'!$A$11:$BN$18,MATCH(Summary!AL$1,'RA1- Elevated Dumps Upper'!$A$9:$BN$9,1),FALSE),0)+IFERROR(VLOOKUP($B24,'RA2-Elevated Dumps Slopes'!$A$11:$BN$18,MATCH(Summary!AL$1,'RA2-Elevated Dumps Slopes'!$A$9:$BN$9,1),FALSE),0)+IFERROR(VLOOKUP($B24,'RA3-Backfilled Pits'!$A$11:$BN$18,MATCH(Summary!AL$1,'RA3-Backfilled Pits'!$A$9:$BN$9,1),FALSE),0)+IFERROR(VLOOKUP($B24,'RA4-Tracks_Roads'!$A$11:$BN$18,MATCH(Summary!AL$1,'RA4-Tracks_Roads'!$A$9:$BN$9,1),FALSE),0)+IFERROR(VLOOKUP($B24,'RA5-ROM'!$A$11:$BN$18,MATCH(Summary!AL$1,'RA5-ROM'!$A$9:$BN$9,1),FALSE),0)+IFERROR(VLOOKUP($B24,'RA6-CHPP'!$A$11:$BN$18,MATCH(Summary!AL$1,'RA6-CHPP'!$A$9:$BN$9,1),FALSE),0)+IFERROR(VLOOKUP($B24,'RA7-Mine Infrastructure Area'!$A$11:$BN$18,MATCH(Summary!AL$1,'RA7-Mine Infrastructure Area'!$A$9:$BN$9,1),FALSE),0)+IFERROR(VLOOKUP($B24,'RA8-Water Management Structures'!$A$11:$BN$18,MATCH(Summary!AL$1,'RA8-Water Management Structures'!$A$9:$BN$9,1),FALSE),0)+IFERROR(VLOOKUP($B24,'RA9-Codisposal Upper'!$A$11:$BN$18,MATCH(Summary!AL$1,'RA9-Codisposal Upper'!$A$9:$BN$9,1),FALSE),0)+IFERROR(VLOOKUP($B24,'RA10-Codisposal Slopes'!$A$11:$BN$18,MATCH(Summary!AL$1,'RA10-Codisposal Slopes'!$A$9:$BN$9,1),FALSE),0)+IFERROR(VLOOKUP($B24,'IA1-Final Void inc Ramps'!$A$11:$BN$18,MATCH(Summary!AL$1,'IA1-Final Void inc Ramps'!$A$9:$BN$9,1),FALSE),0)</f>
        <v>171.56</v>
      </c>
      <c r="AM24" s="47">
        <f>IFERROR(VLOOKUP($B24,'RA1- Elevated Dumps Upper'!$A$11:$BN$18,MATCH(Summary!AM$1,'RA1- Elevated Dumps Upper'!$A$9:$BN$9,1),FALSE),0)+IFERROR(VLOOKUP($B24,'RA2-Elevated Dumps Slopes'!$A$11:$BN$18,MATCH(Summary!AM$1,'RA2-Elevated Dumps Slopes'!$A$9:$BN$9,1),FALSE),0)+IFERROR(VLOOKUP($B24,'RA3-Backfilled Pits'!$A$11:$BN$18,MATCH(Summary!AM$1,'RA3-Backfilled Pits'!$A$9:$BN$9,1),FALSE),0)+IFERROR(VLOOKUP($B24,'RA4-Tracks_Roads'!$A$11:$BN$18,MATCH(Summary!AM$1,'RA4-Tracks_Roads'!$A$9:$BN$9,1),FALSE),0)+IFERROR(VLOOKUP($B24,'RA5-ROM'!$A$11:$BN$18,MATCH(Summary!AM$1,'RA5-ROM'!$A$9:$BN$9,1),FALSE),0)+IFERROR(VLOOKUP($B24,'RA6-CHPP'!$A$11:$BN$18,MATCH(Summary!AM$1,'RA6-CHPP'!$A$9:$BN$9,1),FALSE),0)+IFERROR(VLOOKUP($B24,'RA7-Mine Infrastructure Area'!$A$11:$BN$18,MATCH(Summary!AM$1,'RA7-Mine Infrastructure Area'!$A$9:$BN$9,1),FALSE),0)+IFERROR(VLOOKUP($B24,'RA8-Water Management Structures'!$A$11:$BN$18,MATCH(Summary!AM$1,'RA8-Water Management Structures'!$A$9:$BN$9,1),FALSE),0)+IFERROR(VLOOKUP($B24,'RA9-Codisposal Upper'!$A$11:$BN$18,MATCH(Summary!AM$1,'RA9-Codisposal Upper'!$A$9:$BN$9,1),FALSE),0)+IFERROR(VLOOKUP($B24,'RA10-Codisposal Slopes'!$A$11:$BN$18,MATCH(Summary!AM$1,'RA10-Codisposal Slopes'!$A$9:$BN$9,1),FALSE),0)+IFERROR(VLOOKUP($B24,'IA1-Final Void inc Ramps'!$A$11:$BN$18,MATCH(Summary!AM$1,'IA1-Final Void inc Ramps'!$A$9:$BN$9,1),FALSE),0)</f>
        <v>171.56</v>
      </c>
      <c r="AN24" s="47">
        <f>IFERROR(VLOOKUP($B24,'RA1- Elevated Dumps Upper'!$A$11:$BN$18,MATCH(Summary!AN$1,'RA1- Elevated Dumps Upper'!$A$9:$BN$9,1),FALSE),0)+IFERROR(VLOOKUP($B24,'RA2-Elevated Dumps Slopes'!$A$11:$BN$18,MATCH(Summary!AN$1,'RA2-Elevated Dumps Slopes'!$A$9:$BN$9,1),FALSE),0)+IFERROR(VLOOKUP($B24,'RA3-Backfilled Pits'!$A$11:$BN$18,MATCH(Summary!AN$1,'RA3-Backfilled Pits'!$A$9:$BN$9,1),FALSE),0)+IFERROR(VLOOKUP($B24,'RA4-Tracks_Roads'!$A$11:$BN$18,MATCH(Summary!AN$1,'RA4-Tracks_Roads'!$A$9:$BN$9,1),FALSE),0)+IFERROR(VLOOKUP($B24,'RA5-ROM'!$A$11:$BN$18,MATCH(Summary!AN$1,'RA5-ROM'!$A$9:$BN$9,1),FALSE),0)+IFERROR(VLOOKUP($B24,'RA6-CHPP'!$A$11:$BN$18,MATCH(Summary!AN$1,'RA6-CHPP'!$A$9:$BN$9,1),FALSE),0)+IFERROR(VLOOKUP($B24,'RA7-Mine Infrastructure Area'!$A$11:$BN$18,MATCH(Summary!AN$1,'RA7-Mine Infrastructure Area'!$A$9:$BN$9,1),FALSE),0)+IFERROR(VLOOKUP($B24,'RA8-Water Management Structures'!$A$11:$BN$18,MATCH(Summary!AN$1,'RA8-Water Management Structures'!$A$9:$BN$9,1),FALSE),0)+IFERROR(VLOOKUP($B24,'RA9-Codisposal Upper'!$A$11:$BN$18,MATCH(Summary!AN$1,'RA9-Codisposal Upper'!$A$9:$BN$9,1),FALSE),0)+IFERROR(VLOOKUP($B24,'RA10-Codisposal Slopes'!$A$11:$BN$18,MATCH(Summary!AN$1,'RA10-Codisposal Slopes'!$A$9:$BN$9,1),FALSE),0)+IFERROR(VLOOKUP($B24,'IA1-Final Void inc Ramps'!$A$11:$BN$18,MATCH(Summary!AN$1,'IA1-Final Void inc Ramps'!$A$9:$BN$9,1),FALSE),0)</f>
        <v>171.56</v>
      </c>
      <c r="AO24" s="47">
        <f>IFERROR(VLOOKUP($B24,'RA1- Elevated Dumps Upper'!$A$11:$BN$18,MATCH(Summary!AO$1,'RA1- Elevated Dumps Upper'!$A$9:$BN$9,1),FALSE),0)+IFERROR(VLOOKUP($B24,'RA2-Elevated Dumps Slopes'!$A$11:$BN$18,MATCH(Summary!AO$1,'RA2-Elevated Dumps Slopes'!$A$9:$BN$9,1),FALSE),0)+IFERROR(VLOOKUP($B24,'RA3-Backfilled Pits'!$A$11:$BN$18,MATCH(Summary!AO$1,'RA3-Backfilled Pits'!$A$9:$BN$9,1),FALSE),0)+IFERROR(VLOOKUP($B24,'RA4-Tracks_Roads'!$A$11:$BN$18,MATCH(Summary!AO$1,'RA4-Tracks_Roads'!$A$9:$BN$9,1),FALSE),0)+IFERROR(VLOOKUP($B24,'RA5-ROM'!$A$11:$BN$18,MATCH(Summary!AO$1,'RA5-ROM'!$A$9:$BN$9,1),FALSE),0)+IFERROR(VLOOKUP($B24,'RA6-CHPP'!$A$11:$BN$18,MATCH(Summary!AO$1,'RA6-CHPP'!$A$9:$BN$9,1),FALSE),0)+IFERROR(VLOOKUP($B24,'RA7-Mine Infrastructure Area'!$A$11:$BN$18,MATCH(Summary!AO$1,'RA7-Mine Infrastructure Area'!$A$9:$BN$9,1),FALSE),0)+IFERROR(VLOOKUP($B24,'RA8-Water Management Structures'!$A$11:$BN$18,MATCH(Summary!AO$1,'RA8-Water Management Structures'!$A$9:$BN$9,1),FALSE),0)+IFERROR(VLOOKUP($B24,'RA9-Codisposal Upper'!$A$11:$BN$18,MATCH(Summary!AO$1,'RA9-Codisposal Upper'!$A$9:$BN$9,1),FALSE),0)+IFERROR(VLOOKUP($B24,'RA10-Codisposal Slopes'!$A$11:$BN$18,MATCH(Summary!AO$1,'RA10-Codisposal Slopes'!$A$9:$BN$9,1),FALSE),0)+IFERROR(VLOOKUP($B24,'IA1-Final Void inc Ramps'!$A$11:$BN$18,MATCH(Summary!AO$1,'IA1-Final Void inc Ramps'!$A$9:$BN$9,1),FALSE),0)</f>
        <v>171.56</v>
      </c>
      <c r="AP24" s="47">
        <f>IFERROR(VLOOKUP($B24,'RA1- Elevated Dumps Upper'!$A$11:$BN$18,MATCH(Summary!AP$1,'RA1- Elevated Dumps Upper'!$A$9:$BN$9,1),FALSE),0)+IFERROR(VLOOKUP($B24,'RA2-Elevated Dumps Slopes'!$A$11:$BN$18,MATCH(Summary!AP$1,'RA2-Elevated Dumps Slopes'!$A$9:$BN$9,1),FALSE),0)+IFERROR(VLOOKUP($B24,'RA3-Backfilled Pits'!$A$11:$BN$18,MATCH(Summary!AP$1,'RA3-Backfilled Pits'!$A$9:$BN$9,1),FALSE),0)+IFERROR(VLOOKUP($B24,'RA4-Tracks_Roads'!$A$11:$BN$18,MATCH(Summary!AP$1,'RA4-Tracks_Roads'!$A$9:$BN$9,1),FALSE),0)+IFERROR(VLOOKUP($B24,'RA5-ROM'!$A$11:$BN$18,MATCH(Summary!AP$1,'RA5-ROM'!$A$9:$BN$9,1),FALSE),0)+IFERROR(VLOOKUP($B24,'RA6-CHPP'!$A$11:$BN$18,MATCH(Summary!AP$1,'RA6-CHPP'!$A$9:$BN$9,1),FALSE),0)+IFERROR(VLOOKUP($B24,'RA7-Mine Infrastructure Area'!$A$11:$BN$18,MATCH(Summary!AP$1,'RA7-Mine Infrastructure Area'!$A$9:$BN$9,1),FALSE),0)+IFERROR(VLOOKUP($B24,'RA8-Water Management Structures'!$A$11:$BN$18,MATCH(Summary!AP$1,'RA8-Water Management Structures'!$A$9:$BN$9,1),FALSE),0)+IFERROR(VLOOKUP($B24,'RA9-Codisposal Upper'!$A$11:$BN$18,MATCH(Summary!AP$1,'RA9-Codisposal Upper'!$A$9:$BN$9,1),FALSE),0)+IFERROR(VLOOKUP($B24,'RA10-Codisposal Slopes'!$A$11:$BN$18,MATCH(Summary!AP$1,'RA10-Codisposal Slopes'!$A$9:$BN$9,1),FALSE),0)+IFERROR(VLOOKUP($B24,'IA1-Final Void inc Ramps'!$A$11:$BN$18,MATCH(Summary!AP$1,'IA1-Final Void inc Ramps'!$A$9:$BN$9,1),FALSE),0)</f>
        <v>171.56</v>
      </c>
      <c r="AQ24" s="47">
        <f>IFERROR(VLOOKUP($B24,'RA1- Elevated Dumps Upper'!$A$11:$BN$18,MATCH(Summary!AQ$1,'RA1- Elevated Dumps Upper'!$A$9:$BN$9,1),FALSE),0)+IFERROR(VLOOKUP($B24,'RA2-Elevated Dumps Slopes'!$A$11:$BN$18,MATCH(Summary!AQ$1,'RA2-Elevated Dumps Slopes'!$A$9:$BN$9,1),FALSE),0)+IFERROR(VLOOKUP($B24,'RA3-Backfilled Pits'!$A$11:$BN$18,MATCH(Summary!AQ$1,'RA3-Backfilled Pits'!$A$9:$BN$9,1),FALSE),0)+IFERROR(VLOOKUP($B24,'RA4-Tracks_Roads'!$A$11:$BN$18,MATCH(Summary!AQ$1,'RA4-Tracks_Roads'!$A$9:$BN$9,1),FALSE),0)+IFERROR(VLOOKUP($B24,'RA5-ROM'!$A$11:$BN$18,MATCH(Summary!AQ$1,'RA5-ROM'!$A$9:$BN$9,1),FALSE),0)+IFERROR(VLOOKUP($B24,'RA6-CHPP'!$A$11:$BN$18,MATCH(Summary!AQ$1,'RA6-CHPP'!$A$9:$BN$9,1),FALSE),0)+IFERROR(VLOOKUP($B24,'RA7-Mine Infrastructure Area'!$A$11:$BN$18,MATCH(Summary!AQ$1,'RA7-Mine Infrastructure Area'!$A$9:$BN$9,1),FALSE),0)+IFERROR(VLOOKUP($B24,'RA8-Water Management Structures'!$A$11:$BN$18,MATCH(Summary!AQ$1,'RA8-Water Management Structures'!$A$9:$BN$9,1),FALSE),0)+IFERROR(VLOOKUP($B24,'RA9-Codisposal Upper'!$A$11:$BN$18,MATCH(Summary!AQ$1,'RA9-Codisposal Upper'!$A$9:$BN$9,1),FALSE),0)+IFERROR(VLOOKUP($B24,'RA10-Codisposal Slopes'!$A$11:$BN$18,MATCH(Summary!AQ$1,'RA10-Codisposal Slopes'!$A$9:$BN$9,1),FALSE),0)+IFERROR(VLOOKUP($B24,'IA1-Final Void inc Ramps'!$A$11:$BN$18,MATCH(Summary!AQ$1,'IA1-Final Void inc Ramps'!$A$9:$BN$9,1),FALSE),0)</f>
        <v>171.56</v>
      </c>
      <c r="AR24" s="47">
        <f>IFERROR(VLOOKUP($B24,'RA1- Elevated Dumps Upper'!$A$11:$BN$18,MATCH(Summary!AR$1,'RA1- Elevated Dumps Upper'!$A$9:$BN$9,1),FALSE),0)+IFERROR(VLOOKUP($B24,'RA2-Elevated Dumps Slopes'!$A$11:$BN$18,MATCH(Summary!AR$1,'RA2-Elevated Dumps Slopes'!$A$9:$BN$9,1),FALSE),0)+IFERROR(VLOOKUP($B24,'RA3-Backfilled Pits'!$A$11:$BN$18,MATCH(Summary!AR$1,'RA3-Backfilled Pits'!$A$9:$BN$9,1),FALSE),0)+IFERROR(VLOOKUP($B24,'RA4-Tracks_Roads'!$A$11:$BN$18,MATCH(Summary!AR$1,'RA4-Tracks_Roads'!$A$9:$BN$9,1),FALSE),0)+IFERROR(VLOOKUP($B24,'RA5-ROM'!$A$11:$BN$18,MATCH(Summary!AR$1,'RA5-ROM'!$A$9:$BN$9,1),FALSE),0)+IFERROR(VLOOKUP($B24,'RA6-CHPP'!$A$11:$BN$18,MATCH(Summary!AR$1,'RA6-CHPP'!$A$9:$BN$9,1),FALSE),0)+IFERROR(VLOOKUP($B24,'RA7-Mine Infrastructure Area'!$A$11:$BN$18,MATCH(Summary!AR$1,'RA7-Mine Infrastructure Area'!$A$9:$BN$9,1),FALSE),0)+IFERROR(VLOOKUP($B24,'RA8-Water Management Structures'!$A$11:$BN$18,MATCH(Summary!AR$1,'RA8-Water Management Structures'!$A$9:$BN$9,1),FALSE),0)+IFERROR(VLOOKUP($B24,'RA9-Codisposal Upper'!$A$11:$BN$18,MATCH(Summary!AR$1,'RA9-Codisposal Upper'!$A$9:$BN$9,1),FALSE),0)+IFERROR(VLOOKUP($B24,'RA10-Codisposal Slopes'!$A$11:$BN$18,MATCH(Summary!AR$1,'RA10-Codisposal Slopes'!$A$9:$BN$9,1),FALSE),0)+IFERROR(VLOOKUP($B24,'IA1-Final Void inc Ramps'!$A$11:$BN$18,MATCH(Summary!AR$1,'IA1-Final Void inc Ramps'!$A$9:$BN$9,1),FALSE),0)</f>
        <v>171.56</v>
      </c>
      <c r="AS24" s="47">
        <f>IFERROR(VLOOKUP($B24,'RA1- Elevated Dumps Upper'!$A$11:$BN$18,MATCH(Summary!AS$1,'RA1- Elevated Dumps Upper'!$A$9:$BN$9,1),FALSE),0)+IFERROR(VLOOKUP($B24,'RA2-Elevated Dumps Slopes'!$A$11:$BN$18,MATCH(Summary!AS$1,'RA2-Elevated Dumps Slopes'!$A$9:$BN$9,1),FALSE),0)+IFERROR(VLOOKUP($B24,'RA3-Backfilled Pits'!$A$11:$BN$18,MATCH(Summary!AS$1,'RA3-Backfilled Pits'!$A$9:$BN$9,1),FALSE),0)+IFERROR(VLOOKUP($B24,'RA4-Tracks_Roads'!$A$11:$BN$18,MATCH(Summary!AS$1,'RA4-Tracks_Roads'!$A$9:$BN$9,1),FALSE),0)+IFERROR(VLOOKUP($B24,'RA5-ROM'!$A$11:$BN$18,MATCH(Summary!AS$1,'RA5-ROM'!$A$9:$BN$9,1),FALSE),0)+IFERROR(VLOOKUP($B24,'RA6-CHPP'!$A$11:$BN$18,MATCH(Summary!AS$1,'RA6-CHPP'!$A$9:$BN$9,1),FALSE),0)+IFERROR(VLOOKUP($B24,'RA7-Mine Infrastructure Area'!$A$11:$BN$18,MATCH(Summary!AS$1,'RA7-Mine Infrastructure Area'!$A$9:$BN$9,1),FALSE),0)+IFERROR(VLOOKUP($B24,'RA8-Water Management Structures'!$A$11:$BN$18,MATCH(Summary!AS$1,'RA8-Water Management Structures'!$A$9:$BN$9,1),FALSE),0)+IFERROR(VLOOKUP($B24,'RA9-Codisposal Upper'!$A$11:$BN$18,MATCH(Summary!AS$1,'RA9-Codisposal Upper'!$A$9:$BN$9,1),FALSE),0)+IFERROR(VLOOKUP($B24,'RA10-Codisposal Slopes'!$A$11:$BN$18,MATCH(Summary!AS$1,'RA10-Codisposal Slopes'!$A$9:$BN$9,1),FALSE),0)+IFERROR(VLOOKUP($B24,'IA1-Final Void inc Ramps'!$A$11:$BN$18,MATCH(Summary!AS$1,'IA1-Final Void inc Ramps'!$A$9:$BN$9,1),FALSE),0)</f>
        <v>171.56</v>
      </c>
      <c r="AT24" s="47">
        <f>IFERROR(VLOOKUP($B24,'RA1- Elevated Dumps Upper'!$A$11:$BN$18,MATCH(Summary!AT$1,'RA1- Elevated Dumps Upper'!$A$9:$BN$9,1),FALSE),0)+IFERROR(VLOOKUP($B24,'RA2-Elevated Dumps Slopes'!$A$11:$BN$18,MATCH(Summary!AT$1,'RA2-Elevated Dumps Slopes'!$A$9:$BN$9,1),FALSE),0)+IFERROR(VLOOKUP($B24,'RA3-Backfilled Pits'!$A$11:$BN$18,MATCH(Summary!AT$1,'RA3-Backfilled Pits'!$A$9:$BN$9,1),FALSE),0)+IFERROR(VLOOKUP($B24,'RA4-Tracks_Roads'!$A$11:$BN$18,MATCH(Summary!AT$1,'RA4-Tracks_Roads'!$A$9:$BN$9,1),FALSE),0)+IFERROR(VLOOKUP($B24,'RA5-ROM'!$A$11:$BN$18,MATCH(Summary!AT$1,'RA5-ROM'!$A$9:$BN$9,1),FALSE),0)+IFERROR(VLOOKUP($B24,'RA6-CHPP'!$A$11:$BN$18,MATCH(Summary!AT$1,'RA6-CHPP'!$A$9:$BN$9,1),FALSE),0)+IFERROR(VLOOKUP($B24,'RA7-Mine Infrastructure Area'!$A$11:$BN$18,MATCH(Summary!AT$1,'RA7-Mine Infrastructure Area'!$A$9:$BN$9,1),FALSE),0)+IFERROR(VLOOKUP($B24,'RA8-Water Management Structures'!$A$11:$BN$18,MATCH(Summary!AT$1,'RA8-Water Management Structures'!$A$9:$BN$9,1),FALSE),0)+IFERROR(VLOOKUP($B24,'RA9-Codisposal Upper'!$A$11:$BN$18,MATCH(Summary!AT$1,'RA9-Codisposal Upper'!$A$9:$BN$9,1),FALSE),0)+IFERROR(VLOOKUP($B24,'RA10-Codisposal Slopes'!$A$11:$BN$18,MATCH(Summary!AT$1,'RA10-Codisposal Slopes'!$A$9:$BN$9,1),FALSE),0)+IFERROR(VLOOKUP($B24,'IA1-Final Void inc Ramps'!$A$11:$BN$18,MATCH(Summary!AT$1,'IA1-Final Void inc Ramps'!$A$9:$BN$9,1),FALSE),0)</f>
        <v>171.56</v>
      </c>
      <c r="AU24" s="47">
        <f>IFERROR(VLOOKUP($B24,'RA1- Elevated Dumps Upper'!$A$11:$BN$18,MATCH(Summary!AU$1,'RA1- Elevated Dumps Upper'!$A$9:$BN$9,1),FALSE),0)+IFERROR(VLOOKUP($B24,'RA2-Elevated Dumps Slopes'!$A$11:$BN$18,MATCH(Summary!AU$1,'RA2-Elevated Dumps Slopes'!$A$9:$BN$9,1),FALSE),0)+IFERROR(VLOOKUP($B24,'RA3-Backfilled Pits'!$A$11:$BN$18,MATCH(Summary!AU$1,'RA3-Backfilled Pits'!$A$9:$BN$9,1),FALSE),0)+IFERROR(VLOOKUP($B24,'RA4-Tracks_Roads'!$A$11:$BN$18,MATCH(Summary!AU$1,'RA4-Tracks_Roads'!$A$9:$BN$9,1),FALSE),0)+IFERROR(VLOOKUP($B24,'RA5-ROM'!$A$11:$BN$18,MATCH(Summary!AU$1,'RA5-ROM'!$A$9:$BN$9,1),FALSE),0)+IFERROR(VLOOKUP($B24,'RA6-CHPP'!$A$11:$BN$18,MATCH(Summary!AU$1,'RA6-CHPP'!$A$9:$BN$9,1),FALSE),0)+IFERROR(VLOOKUP($B24,'RA7-Mine Infrastructure Area'!$A$11:$BN$18,MATCH(Summary!AU$1,'RA7-Mine Infrastructure Area'!$A$9:$BN$9,1),FALSE),0)+IFERROR(VLOOKUP($B24,'RA8-Water Management Structures'!$A$11:$BN$18,MATCH(Summary!AU$1,'RA8-Water Management Structures'!$A$9:$BN$9,1),FALSE),0)+IFERROR(VLOOKUP($B24,'RA9-Codisposal Upper'!$A$11:$BN$18,MATCH(Summary!AU$1,'RA9-Codisposal Upper'!$A$9:$BN$9,1),FALSE),0)+IFERROR(VLOOKUP($B24,'RA10-Codisposal Slopes'!$A$11:$BN$18,MATCH(Summary!AU$1,'RA10-Codisposal Slopes'!$A$9:$BN$9,1),FALSE),0)+IFERROR(VLOOKUP($B24,'IA1-Final Void inc Ramps'!$A$11:$BN$18,MATCH(Summary!AU$1,'IA1-Final Void inc Ramps'!$A$9:$BN$9,1),FALSE),0)</f>
        <v>171.56</v>
      </c>
      <c r="AV24" s="47">
        <f>IFERROR(VLOOKUP($B24,'RA1- Elevated Dumps Upper'!$A$11:$BN$18,MATCH(Summary!AV$1,'RA1- Elevated Dumps Upper'!$A$9:$BN$9,1),FALSE),0)+IFERROR(VLOOKUP($B24,'RA2-Elevated Dumps Slopes'!$A$11:$BN$18,MATCH(Summary!AV$1,'RA2-Elevated Dumps Slopes'!$A$9:$BN$9,1),FALSE),0)+IFERROR(VLOOKUP($B24,'RA3-Backfilled Pits'!$A$11:$BN$18,MATCH(Summary!AV$1,'RA3-Backfilled Pits'!$A$9:$BN$9,1),FALSE),0)+IFERROR(VLOOKUP($B24,'RA4-Tracks_Roads'!$A$11:$BN$18,MATCH(Summary!AV$1,'RA4-Tracks_Roads'!$A$9:$BN$9,1),FALSE),0)+IFERROR(VLOOKUP($B24,'RA5-ROM'!$A$11:$BN$18,MATCH(Summary!AV$1,'RA5-ROM'!$A$9:$BN$9,1),FALSE),0)+IFERROR(VLOOKUP($B24,'RA6-CHPP'!$A$11:$BN$18,MATCH(Summary!AV$1,'RA6-CHPP'!$A$9:$BN$9,1),FALSE),0)+IFERROR(VLOOKUP($B24,'RA7-Mine Infrastructure Area'!$A$11:$BN$18,MATCH(Summary!AV$1,'RA7-Mine Infrastructure Area'!$A$9:$BN$9,1),FALSE),0)+IFERROR(VLOOKUP($B24,'RA8-Water Management Structures'!$A$11:$BN$18,MATCH(Summary!AV$1,'RA8-Water Management Structures'!$A$9:$BN$9,1),FALSE),0)+IFERROR(VLOOKUP($B24,'RA9-Codisposal Upper'!$A$11:$BN$18,MATCH(Summary!AV$1,'RA9-Codisposal Upper'!$A$9:$BN$9,1),FALSE),0)+IFERROR(VLOOKUP($B24,'RA10-Codisposal Slopes'!$A$11:$BN$18,MATCH(Summary!AV$1,'RA10-Codisposal Slopes'!$A$9:$BN$9,1),FALSE),0)+IFERROR(VLOOKUP($B24,'IA1-Final Void inc Ramps'!$A$11:$BN$18,MATCH(Summary!AV$1,'IA1-Final Void inc Ramps'!$A$9:$BN$9,1),FALSE),0)</f>
        <v>171.56</v>
      </c>
      <c r="AW24" s="47">
        <f>IFERROR(VLOOKUP($B24,'RA1- Elevated Dumps Upper'!$A$11:$BN$18,MATCH(Summary!AW$1,'RA1- Elevated Dumps Upper'!$A$9:$BN$9,1),FALSE),0)+IFERROR(VLOOKUP($B24,'RA2-Elevated Dumps Slopes'!$A$11:$BN$18,MATCH(Summary!AW$1,'RA2-Elevated Dumps Slopes'!$A$9:$BN$9,1),FALSE),0)+IFERROR(VLOOKUP($B24,'RA3-Backfilled Pits'!$A$11:$BN$18,MATCH(Summary!AW$1,'RA3-Backfilled Pits'!$A$9:$BN$9,1),FALSE),0)+IFERROR(VLOOKUP($B24,'RA4-Tracks_Roads'!$A$11:$BN$18,MATCH(Summary!AW$1,'RA4-Tracks_Roads'!$A$9:$BN$9,1),FALSE),0)+IFERROR(VLOOKUP($B24,'RA5-ROM'!$A$11:$BN$18,MATCH(Summary!AW$1,'RA5-ROM'!$A$9:$BN$9,1),FALSE),0)+IFERROR(VLOOKUP($B24,'RA6-CHPP'!$A$11:$BN$18,MATCH(Summary!AW$1,'RA6-CHPP'!$A$9:$BN$9,1),FALSE),0)+IFERROR(VLOOKUP($B24,'RA7-Mine Infrastructure Area'!$A$11:$BN$18,MATCH(Summary!AW$1,'RA7-Mine Infrastructure Area'!$A$9:$BN$9,1),FALSE),0)+IFERROR(VLOOKUP($B24,'RA8-Water Management Structures'!$A$11:$BN$18,MATCH(Summary!AW$1,'RA8-Water Management Structures'!$A$9:$BN$9,1),FALSE),0)+IFERROR(VLOOKUP($B24,'RA9-Codisposal Upper'!$A$11:$BN$18,MATCH(Summary!AW$1,'RA9-Codisposal Upper'!$A$9:$BN$9,1),FALSE),0)+IFERROR(VLOOKUP($B24,'RA10-Codisposal Slopes'!$A$11:$BN$18,MATCH(Summary!AW$1,'RA10-Codisposal Slopes'!$A$9:$BN$9,1),FALSE),0)+IFERROR(VLOOKUP($B24,'IA1-Final Void inc Ramps'!$A$11:$BN$18,MATCH(Summary!AW$1,'IA1-Final Void inc Ramps'!$A$9:$BN$9,1),FALSE),0)</f>
        <v>171.56</v>
      </c>
      <c r="AX24" s="47">
        <f>IFERROR(VLOOKUP($B24,'RA1- Elevated Dumps Upper'!$A$11:$BN$18,MATCH(Summary!AX$1,'RA1- Elevated Dumps Upper'!$A$9:$BN$9,1),FALSE),0)+IFERROR(VLOOKUP($B24,'RA2-Elevated Dumps Slopes'!$A$11:$BN$18,MATCH(Summary!AX$1,'RA2-Elevated Dumps Slopes'!$A$9:$BN$9,1),FALSE),0)+IFERROR(VLOOKUP($B24,'RA3-Backfilled Pits'!$A$11:$BN$18,MATCH(Summary!AX$1,'RA3-Backfilled Pits'!$A$9:$BN$9,1),FALSE),0)+IFERROR(VLOOKUP($B24,'RA4-Tracks_Roads'!$A$11:$BN$18,MATCH(Summary!AX$1,'RA4-Tracks_Roads'!$A$9:$BN$9,1),FALSE),0)+IFERROR(VLOOKUP($B24,'RA5-ROM'!$A$11:$BN$18,MATCH(Summary!AX$1,'RA5-ROM'!$A$9:$BN$9,1),FALSE),0)+IFERROR(VLOOKUP($B24,'RA6-CHPP'!$A$11:$BN$18,MATCH(Summary!AX$1,'RA6-CHPP'!$A$9:$BN$9,1),FALSE),0)+IFERROR(VLOOKUP($B24,'RA7-Mine Infrastructure Area'!$A$11:$BN$18,MATCH(Summary!AX$1,'RA7-Mine Infrastructure Area'!$A$9:$BN$9,1),FALSE),0)+IFERROR(VLOOKUP($B24,'RA8-Water Management Structures'!$A$11:$BN$18,MATCH(Summary!AX$1,'RA8-Water Management Structures'!$A$9:$BN$9,1),FALSE),0)+IFERROR(VLOOKUP($B24,'RA9-Codisposal Upper'!$A$11:$BN$18,MATCH(Summary!AX$1,'RA9-Codisposal Upper'!$A$9:$BN$9,1),FALSE),0)+IFERROR(VLOOKUP($B24,'RA10-Codisposal Slopes'!$A$11:$BN$18,MATCH(Summary!AX$1,'RA10-Codisposal Slopes'!$A$9:$BN$9,1),FALSE),0)+IFERROR(VLOOKUP($B24,'IA1-Final Void inc Ramps'!$A$11:$BN$18,MATCH(Summary!AX$1,'IA1-Final Void inc Ramps'!$A$9:$BN$9,1),FALSE),0)</f>
        <v>171.56</v>
      </c>
      <c r="AY24" s="47">
        <f>IFERROR(VLOOKUP($B24,'RA1- Elevated Dumps Upper'!$A$11:$BN$18,MATCH(Summary!AY$1,'RA1- Elevated Dumps Upper'!$A$9:$BN$9,1),FALSE),0)+IFERROR(VLOOKUP($B24,'RA2-Elevated Dumps Slopes'!$A$11:$BN$18,MATCH(Summary!AY$1,'RA2-Elevated Dumps Slopes'!$A$9:$BN$9,1),FALSE),0)+IFERROR(VLOOKUP($B24,'RA3-Backfilled Pits'!$A$11:$BN$18,MATCH(Summary!AY$1,'RA3-Backfilled Pits'!$A$9:$BN$9,1),FALSE),0)+IFERROR(VLOOKUP($B24,'RA4-Tracks_Roads'!$A$11:$BN$18,MATCH(Summary!AY$1,'RA4-Tracks_Roads'!$A$9:$BN$9,1),FALSE),0)+IFERROR(VLOOKUP($B24,'RA5-ROM'!$A$11:$BN$18,MATCH(Summary!AY$1,'RA5-ROM'!$A$9:$BN$9,1),FALSE),0)+IFERROR(VLOOKUP($B24,'RA6-CHPP'!$A$11:$BN$18,MATCH(Summary!AY$1,'RA6-CHPP'!$A$9:$BN$9,1),FALSE),0)+IFERROR(VLOOKUP($B24,'RA7-Mine Infrastructure Area'!$A$11:$BN$18,MATCH(Summary!AY$1,'RA7-Mine Infrastructure Area'!$A$9:$BN$9,1),FALSE),0)+IFERROR(VLOOKUP($B24,'RA8-Water Management Structures'!$A$11:$BN$18,MATCH(Summary!AY$1,'RA8-Water Management Structures'!$A$9:$BN$9,1),FALSE),0)+IFERROR(VLOOKUP($B24,'RA9-Codisposal Upper'!$A$11:$BN$18,MATCH(Summary!AY$1,'RA9-Codisposal Upper'!$A$9:$BN$9,1),FALSE),0)+IFERROR(VLOOKUP($B24,'RA10-Codisposal Slopes'!$A$11:$BN$18,MATCH(Summary!AY$1,'RA10-Codisposal Slopes'!$A$9:$BN$9,1),FALSE),0)+IFERROR(VLOOKUP($B24,'IA1-Final Void inc Ramps'!$A$11:$BN$18,MATCH(Summary!AY$1,'IA1-Final Void inc Ramps'!$A$9:$BN$9,1),FALSE),0)</f>
        <v>171.56</v>
      </c>
      <c r="AZ24" s="47">
        <f>IFERROR(VLOOKUP($B24,'RA1- Elevated Dumps Upper'!$A$11:$BN$18,MATCH(Summary!AZ$1,'RA1- Elevated Dumps Upper'!$A$9:$BN$9,1),FALSE),0)+IFERROR(VLOOKUP($B24,'RA2-Elevated Dumps Slopes'!$A$11:$BN$18,MATCH(Summary!AZ$1,'RA2-Elevated Dumps Slopes'!$A$9:$BN$9,1),FALSE),0)+IFERROR(VLOOKUP($B24,'RA3-Backfilled Pits'!$A$11:$BN$18,MATCH(Summary!AZ$1,'RA3-Backfilled Pits'!$A$9:$BN$9,1),FALSE),0)+IFERROR(VLOOKUP($B24,'RA4-Tracks_Roads'!$A$11:$BN$18,MATCH(Summary!AZ$1,'RA4-Tracks_Roads'!$A$9:$BN$9,1),FALSE),0)+IFERROR(VLOOKUP($B24,'RA5-ROM'!$A$11:$BN$18,MATCH(Summary!AZ$1,'RA5-ROM'!$A$9:$BN$9,1),FALSE),0)+IFERROR(VLOOKUP($B24,'RA6-CHPP'!$A$11:$BN$18,MATCH(Summary!AZ$1,'RA6-CHPP'!$A$9:$BN$9,1),FALSE),0)+IFERROR(VLOOKUP($B24,'RA7-Mine Infrastructure Area'!$A$11:$BN$18,MATCH(Summary!AZ$1,'RA7-Mine Infrastructure Area'!$A$9:$BN$9,1),FALSE),0)+IFERROR(VLOOKUP($B24,'RA8-Water Management Structures'!$A$11:$BN$18,MATCH(Summary!AZ$1,'RA8-Water Management Structures'!$A$9:$BN$9,1),FALSE),0)+IFERROR(VLOOKUP($B24,'RA9-Codisposal Upper'!$A$11:$BN$18,MATCH(Summary!AZ$1,'RA9-Codisposal Upper'!$A$9:$BN$9,1),FALSE),0)+IFERROR(VLOOKUP($B24,'RA10-Codisposal Slopes'!$A$11:$BN$18,MATCH(Summary!AZ$1,'RA10-Codisposal Slopes'!$A$9:$BN$9,1),FALSE),0)+IFERROR(VLOOKUP($B24,'IA1-Final Void inc Ramps'!$A$11:$BN$18,MATCH(Summary!AZ$1,'IA1-Final Void inc Ramps'!$A$9:$BN$9,1),FALSE),0)</f>
        <v>171.56</v>
      </c>
      <c r="BA24" s="47">
        <f>IFERROR(VLOOKUP($B24,'RA1- Elevated Dumps Upper'!$A$11:$BN$18,MATCH(Summary!BA$1,'RA1- Elevated Dumps Upper'!$A$9:$BN$9,1),FALSE),0)+IFERROR(VLOOKUP($B24,'RA2-Elevated Dumps Slopes'!$A$11:$BN$18,MATCH(Summary!BA$1,'RA2-Elevated Dumps Slopes'!$A$9:$BN$9,1),FALSE),0)+IFERROR(VLOOKUP($B24,'RA3-Backfilled Pits'!$A$11:$BN$18,MATCH(Summary!BA$1,'RA3-Backfilled Pits'!$A$9:$BN$9,1),FALSE),0)+IFERROR(VLOOKUP($B24,'RA4-Tracks_Roads'!$A$11:$BN$18,MATCH(Summary!BA$1,'RA4-Tracks_Roads'!$A$9:$BN$9,1),FALSE),0)+IFERROR(VLOOKUP($B24,'RA5-ROM'!$A$11:$BN$18,MATCH(Summary!BA$1,'RA5-ROM'!$A$9:$BN$9,1),FALSE),0)+IFERROR(VLOOKUP($B24,'RA6-CHPP'!$A$11:$BN$18,MATCH(Summary!BA$1,'RA6-CHPP'!$A$9:$BN$9,1),FALSE),0)+IFERROR(VLOOKUP($B24,'RA7-Mine Infrastructure Area'!$A$11:$BN$18,MATCH(Summary!BA$1,'RA7-Mine Infrastructure Area'!$A$9:$BN$9,1),FALSE),0)+IFERROR(VLOOKUP($B24,'RA8-Water Management Structures'!$A$11:$BN$18,MATCH(Summary!BA$1,'RA8-Water Management Structures'!$A$9:$BN$9,1),FALSE),0)+IFERROR(VLOOKUP($B24,'RA9-Codisposal Upper'!$A$11:$BN$18,MATCH(Summary!BA$1,'RA9-Codisposal Upper'!$A$9:$BN$9,1),FALSE),0)+IFERROR(VLOOKUP($B24,'RA10-Codisposal Slopes'!$A$11:$BN$18,MATCH(Summary!BA$1,'RA10-Codisposal Slopes'!$A$9:$BN$9,1),FALSE),0)+IFERROR(VLOOKUP($B24,'IA1-Final Void inc Ramps'!$A$11:$BN$18,MATCH(Summary!BA$1,'IA1-Final Void inc Ramps'!$A$9:$BN$9,1),FALSE),0)</f>
        <v>171.56</v>
      </c>
      <c r="BB24" s="47">
        <f>IFERROR(VLOOKUP($B24,'RA1- Elevated Dumps Upper'!$A$11:$BN$18,MATCH(Summary!BB$1,'RA1- Elevated Dumps Upper'!$A$9:$BN$9,1),FALSE),0)+IFERROR(VLOOKUP($B24,'RA2-Elevated Dumps Slopes'!$A$11:$BN$18,MATCH(Summary!BB$1,'RA2-Elevated Dumps Slopes'!$A$9:$BN$9,1),FALSE),0)+IFERROR(VLOOKUP($B24,'RA3-Backfilled Pits'!$A$11:$BN$18,MATCH(Summary!BB$1,'RA3-Backfilled Pits'!$A$9:$BN$9,1),FALSE),0)+IFERROR(VLOOKUP($B24,'RA4-Tracks_Roads'!$A$11:$BN$18,MATCH(Summary!BB$1,'RA4-Tracks_Roads'!$A$9:$BN$9,1),FALSE),0)+IFERROR(VLOOKUP($B24,'RA5-ROM'!$A$11:$BN$18,MATCH(Summary!BB$1,'RA5-ROM'!$A$9:$BN$9,1),FALSE),0)+IFERROR(VLOOKUP($B24,'RA6-CHPP'!$A$11:$BN$18,MATCH(Summary!BB$1,'RA6-CHPP'!$A$9:$BN$9,1),FALSE),0)+IFERROR(VLOOKUP($B24,'RA7-Mine Infrastructure Area'!$A$11:$BN$18,MATCH(Summary!BB$1,'RA7-Mine Infrastructure Area'!$A$9:$BN$9,1),FALSE),0)+IFERROR(VLOOKUP($B24,'RA8-Water Management Structures'!$A$11:$BN$18,MATCH(Summary!BB$1,'RA8-Water Management Structures'!$A$9:$BN$9,1),FALSE),0)+IFERROR(VLOOKUP($B24,'RA9-Codisposal Upper'!$A$11:$BN$18,MATCH(Summary!BB$1,'RA9-Codisposal Upper'!$A$9:$BN$9,1),FALSE),0)+IFERROR(VLOOKUP($B24,'RA10-Codisposal Slopes'!$A$11:$BN$18,MATCH(Summary!BB$1,'RA10-Codisposal Slopes'!$A$9:$BN$9,1),FALSE),0)+IFERROR(VLOOKUP($B24,'IA1-Final Void inc Ramps'!$A$11:$BN$18,MATCH(Summary!BB$1,'IA1-Final Void inc Ramps'!$A$9:$BN$9,1),FALSE),0)</f>
        <v>171.56</v>
      </c>
      <c r="BC24" s="47">
        <f>IFERROR(VLOOKUP($B24,'RA1- Elevated Dumps Upper'!$A$11:$BN$18,MATCH(Summary!BC$1,'RA1- Elevated Dumps Upper'!$A$9:$BN$9,1),FALSE),0)+IFERROR(VLOOKUP($B24,'RA2-Elevated Dumps Slopes'!$A$11:$BN$18,MATCH(Summary!BC$1,'RA2-Elevated Dumps Slopes'!$A$9:$BN$9,1),FALSE),0)+IFERROR(VLOOKUP($B24,'RA3-Backfilled Pits'!$A$11:$BN$18,MATCH(Summary!BC$1,'RA3-Backfilled Pits'!$A$9:$BN$9,1),FALSE),0)+IFERROR(VLOOKUP($B24,'RA4-Tracks_Roads'!$A$11:$BN$18,MATCH(Summary!BC$1,'RA4-Tracks_Roads'!$A$9:$BN$9,1),FALSE),0)+IFERROR(VLOOKUP($B24,'RA5-ROM'!$A$11:$BN$18,MATCH(Summary!BC$1,'RA5-ROM'!$A$9:$BN$9,1),FALSE),0)+IFERROR(VLOOKUP($B24,'RA6-CHPP'!$A$11:$BN$18,MATCH(Summary!BC$1,'RA6-CHPP'!$A$9:$BN$9,1),FALSE),0)+IFERROR(VLOOKUP($B24,'RA7-Mine Infrastructure Area'!$A$11:$BN$18,MATCH(Summary!BC$1,'RA7-Mine Infrastructure Area'!$A$9:$BN$9,1),FALSE),0)+IFERROR(VLOOKUP($B24,'RA8-Water Management Structures'!$A$11:$BN$18,MATCH(Summary!BC$1,'RA8-Water Management Structures'!$A$9:$BN$9,1),FALSE),0)+IFERROR(VLOOKUP($B24,'RA9-Codisposal Upper'!$A$11:$BN$18,MATCH(Summary!BC$1,'RA9-Codisposal Upper'!$A$9:$BN$9,1),FALSE),0)+IFERROR(VLOOKUP($B24,'RA10-Codisposal Slopes'!$A$11:$BN$18,MATCH(Summary!BC$1,'RA10-Codisposal Slopes'!$A$9:$BN$9,1),FALSE),0)+IFERROR(VLOOKUP($B24,'IA1-Final Void inc Ramps'!$A$11:$BN$18,MATCH(Summary!BC$1,'IA1-Final Void inc Ramps'!$A$9:$BN$9,1),FALSE),0)</f>
        <v>171.56</v>
      </c>
      <c r="BD24" s="47">
        <f>IFERROR(VLOOKUP($B24,'RA1- Elevated Dumps Upper'!$A$11:$BN$18,MATCH(Summary!BD$1,'RA1- Elevated Dumps Upper'!$A$9:$BN$9,1),FALSE),0)+IFERROR(VLOOKUP($B24,'RA2-Elevated Dumps Slopes'!$A$11:$BN$18,MATCH(Summary!BD$1,'RA2-Elevated Dumps Slopes'!$A$9:$BN$9,1),FALSE),0)+IFERROR(VLOOKUP($B24,'RA3-Backfilled Pits'!$A$11:$BN$18,MATCH(Summary!BD$1,'RA3-Backfilled Pits'!$A$9:$BN$9,1),FALSE),0)+IFERROR(VLOOKUP($B24,'RA4-Tracks_Roads'!$A$11:$BN$18,MATCH(Summary!BD$1,'RA4-Tracks_Roads'!$A$9:$BN$9,1),FALSE),0)+IFERROR(VLOOKUP($B24,'RA5-ROM'!$A$11:$BN$18,MATCH(Summary!BD$1,'RA5-ROM'!$A$9:$BN$9,1),FALSE),0)+IFERROR(VLOOKUP($B24,'RA6-CHPP'!$A$11:$BN$18,MATCH(Summary!BD$1,'RA6-CHPP'!$A$9:$BN$9,1),FALSE),0)+IFERROR(VLOOKUP($B24,'RA7-Mine Infrastructure Area'!$A$11:$BN$18,MATCH(Summary!BD$1,'RA7-Mine Infrastructure Area'!$A$9:$BN$9,1),FALSE),0)+IFERROR(VLOOKUP($B24,'RA8-Water Management Structures'!$A$11:$BN$18,MATCH(Summary!BD$1,'RA8-Water Management Structures'!$A$9:$BN$9,1),FALSE),0)+IFERROR(VLOOKUP($B24,'RA9-Codisposal Upper'!$A$11:$BN$18,MATCH(Summary!BD$1,'RA9-Codisposal Upper'!$A$9:$BN$9,1),FALSE),0)+IFERROR(VLOOKUP($B24,'RA10-Codisposal Slopes'!$A$11:$BN$18,MATCH(Summary!BD$1,'RA10-Codisposal Slopes'!$A$9:$BN$9,1),FALSE),0)+IFERROR(VLOOKUP($B24,'IA1-Final Void inc Ramps'!$A$11:$BN$18,MATCH(Summary!BD$1,'IA1-Final Void inc Ramps'!$A$9:$BN$9,1),FALSE),0)</f>
        <v>171.56</v>
      </c>
      <c r="BE24" s="47">
        <f>IFERROR(VLOOKUP($B24,'RA1- Elevated Dumps Upper'!$A$11:$BN$18,MATCH(Summary!BE$1,'RA1- Elevated Dumps Upper'!$A$9:$BN$9,1),FALSE),0)+IFERROR(VLOOKUP($B24,'RA2-Elevated Dumps Slopes'!$A$11:$BN$18,MATCH(Summary!BE$1,'RA2-Elevated Dumps Slopes'!$A$9:$BN$9,1),FALSE),0)+IFERROR(VLOOKUP($B24,'RA3-Backfilled Pits'!$A$11:$BN$18,MATCH(Summary!BE$1,'RA3-Backfilled Pits'!$A$9:$BN$9,1),FALSE),0)+IFERROR(VLOOKUP($B24,'RA4-Tracks_Roads'!$A$11:$BN$18,MATCH(Summary!BE$1,'RA4-Tracks_Roads'!$A$9:$BN$9,1),FALSE),0)+IFERROR(VLOOKUP($B24,'RA5-ROM'!$A$11:$BN$18,MATCH(Summary!BE$1,'RA5-ROM'!$A$9:$BN$9,1),FALSE),0)+IFERROR(VLOOKUP($B24,'RA6-CHPP'!$A$11:$BN$18,MATCH(Summary!BE$1,'RA6-CHPP'!$A$9:$BN$9,1),FALSE),0)+IFERROR(VLOOKUP($B24,'RA7-Mine Infrastructure Area'!$A$11:$BN$18,MATCH(Summary!BE$1,'RA7-Mine Infrastructure Area'!$A$9:$BN$9,1),FALSE),0)+IFERROR(VLOOKUP($B24,'RA8-Water Management Structures'!$A$11:$BN$18,MATCH(Summary!BE$1,'RA8-Water Management Structures'!$A$9:$BN$9,1),FALSE),0)+IFERROR(VLOOKUP($B24,'RA9-Codisposal Upper'!$A$11:$BN$18,MATCH(Summary!BE$1,'RA9-Codisposal Upper'!$A$9:$BN$9,1),FALSE),0)+IFERROR(VLOOKUP($B24,'RA10-Codisposal Slopes'!$A$11:$BN$18,MATCH(Summary!BE$1,'RA10-Codisposal Slopes'!$A$9:$BN$9,1),FALSE),0)+IFERROR(VLOOKUP($B24,'IA1-Final Void inc Ramps'!$A$11:$BN$18,MATCH(Summary!BE$1,'IA1-Final Void inc Ramps'!$A$9:$BN$9,1),FALSE),0)</f>
        <v>171.56</v>
      </c>
      <c r="BF24" s="47">
        <f>IFERROR(VLOOKUP($B24,'RA1- Elevated Dumps Upper'!$A$11:$BN$18,MATCH(Summary!BF$1,'RA1- Elevated Dumps Upper'!$A$9:$BN$9,1),FALSE),0)+IFERROR(VLOOKUP($B24,'RA2-Elevated Dumps Slopes'!$A$11:$BN$18,MATCH(Summary!BF$1,'RA2-Elevated Dumps Slopes'!$A$9:$BN$9,1),FALSE),0)+IFERROR(VLOOKUP($B24,'RA3-Backfilled Pits'!$A$11:$BN$18,MATCH(Summary!BF$1,'RA3-Backfilled Pits'!$A$9:$BN$9,1),FALSE),0)+IFERROR(VLOOKUP($B24,'RA4-Tracks_Roads'!$A$11:$BN$18,MATCH(Summary!BF$1,'RA4-Tracks_Roads'!$A$9:$BN$9,1),FALSE),0)+IFERROR(VLOOKUP($B24,'RA5-ROM'!$A$11:$BN$18,MATCH(Summary!BF$1,'RA5-ROM'!$A$9:$BN$9,1),FALSE),0)+IFERROR(VLOOKUP($B24,'RA6-CHPP'!$A$11:$BN$18,MATCH(Summary!BF$1,'RA6-CHPP'!$A$9:$BN$9,1),FALSE),0)+IFERROR(VLOOKUP($B24,'RA7-Mine Infrastructure Area'!$A$11:$BN$18,MATCH(Summary!BF$1,'RA7-Mine Infrastructure Area'!$A$9:$BN$9,1),FALSE),0)+IFERROR(VLOOKUP($B24,'RA8-Water Management Structures'!$A$11:$BN$18,MATCH(Summary!BF$1,'RA8-Water Management Structures'!$A$9:$BN$9,1),FALSE),0)+IFERROR(VLOOKUP($B24,'RA9-Codisposal Upper'!$A$11:$BN$18,MATCH(Summary!BF$1,'RA9-Codisposal Upper'!$A$9:$BN$9,1),FALSE),0)+IFERROR(VLOOKUP($B24,'RA10-Codisposal Slopes'!$A$11:$BN$18,MATCH(Summary!BF$1,'RA10-Codisposal Slopes'!$A$9:$BN$9,1),FALSE),0)+IFERROR(VLOOKUP($B24,'IA1-Final Void inc Ramps'!$A$11:$BN$18,MATCH(Summary!BF$1,'IA1-Final Void inc Ramps'!$A$9:$BN$9,1),FALSE),0)</f>
        <v>171.56</v>
      </c>
      <c r="BG24" s="47">
        <f>IFERROR(VLOOKUP($B24,'RA1- Elevated Dumps Upper'!$A$11:$BN$18,MATCH(Summary!BG$1,'RA1- Elevated Dumps Upper'!$A$9:$BN$9,1),FALSE),0)+IFERROR(VLOOKUP($B24,'RA2-Elevated Dumps Slopes'!$A$11:$BN$18,MATCH(Summary!BG$1,'RA2-Elevated Dumps Slopes'!$A$9:$BN$9,1),FALSE),0)+IFERROR(VLOOKUP($B24,'RA3-Backfilled Pits'!$A$11:$BN$18,MATCH(Summary!BG$1,'RA3-Backfilled Pits'!$A$9:$BN$9,1),FALSE),0)+IFERROR(VLOOKUP($B24,'RA4-Tracks_Roads'!$A$11:$BN$18,MATCH(Summary!BG$1,'RA4-Tracks_Roads'!$A$9:$BN$9,1),FALSE),0)+IFERROR(VLOOKUP($B24,'RA5-ROM'!$A$11:$BN$18,MATCH(Summary!BG$1,'RA5-ROM'!$A$9:$BN$9,1),FALSE),0)+IFERROR(VLOOKUP($B24,'RA6-CHPP'!$A$11:$BN$18,MATCH(Summary!BG$1,'RA6-CHPP'!$A$9:$BN$9,1),FALSE),0)+IFERROR(VLOOKUP($B24,'RA7-Mine Infrastructure Area'!$A$11:$BN$18,MATCH(Summary!BG$1,'RA7-Mine Infrastructure Area'!$A$9:$BN$9,1),FALSE),0)+IFERROR(VLOOKUP($B24,'RA8-Water Management Structures'!$A$11:$BN$18,MATCH(Summary!BG$1,'RA8-Water Management Structures'!$A$9:$BN$9,1),FALSE),0)+IFERROR(VLOOKUP($B24,'RA9-Codisposal Upper'!$A$11:$BN$18,MATCH(Summary!BG$1,'RA9-Codisposal Upper'!$A$9:$BN$9,1),FALSE),0)+IFERROR(VLOOKUP($B24,'RA10-Codisposal Slopes'!$A$11:$BN$18,MATCH(Summary!BG$1,'RA10-Codisposal Slopes'!$A$9:$BN$9,1),FALSE),0)+IFERROR(VLOOKUP($B24,'IA1-Final Void inc Ramps'!$A$11:$BN$18,MATCH(Summary!BG$1,'IA1-Final Void inc Ramps'!$A$9:$BN$9,1),FALSE),0)</f>
        <v>171.56</v>
      </c>
      <c r="BH24" s="47">
        <f>IFERROR(VLOOKUP($B24,'RA1- Elevated Dumps Upper'!$A$11:$BN$18,MATCH(Summary!BH$1,'RA1- Elevated Dumps Upper'!$A$9:$BN$9,1),FALSE),0)+IFERROR(VLOOKUP($B24,'RA2-Elevated Dumps Slopes'!$A$11:$BN$18,MATCH(Summary!BH$1,'RA2-Elevated Dumps Slopes'!$A$9:$BN$9,1),FALSE),0)+IFERROR(VLOOKUP($B24,'RA3-Backfilled Pits'!$A$11:$BN$18,MATCH(Summary!BH$1,'RA3-Backfilled Pits'!$A$9:$BN$9,1),FALSE),0)+IFERROR(VLOOKUP($B24,'RA4-Tracks_Roads'!$A$11:$BN$18,MATCH(Summary!BH$1,'RA4-Tracks_Roads'!$A$9:$BN$9,1),FALSE),0)+IFERROR(VLOOKUP($B24,'RA5-ROM'!$A$11:$BN$18,MATCH(Summary!BH$1,'RA5-ROM'!$A$9:$BN$9,1),FALSE),0)+IFERROR(VLOOKUP($B24,'RA6-CHPP'!$A$11:$BN$18,MATCH(Summary!BH$1,'RA6-CHPP'!$A$9:$BN$9,1),FALSE),0)+IFERROR(VLOOKUP($B24,'RA7-Mine Infrastructure Area'!$A$11:$BN$18,MATCH(Summary!BH$1,'RA7-Mine Infrastructure Area'!$A$9:$BN$9,1),FALSE),0)+IFERROR(VLOOKUP($B24,'RA8-Water Management Structures'!$A$11:$BN$18,MATCH(Summary!BH$1,'RA8-Water Management Structures'!$A$9:$BN$9,1),FALSE),0)+IFERROR(VLOOKUP($B24,'RA9-Codisposal Upper'!$A$11:$BN$18,MATCH(Summary!BH$1,'RA9-Codisposal Upper'!$A$9:$BN$9,1),FALSE),0)+IFERROR(VLOOKUP($B24,'RA10-Codisposal Slopes'!$A$11:$BN$18,MATCH(Summary!BH$1,'RA10-Codisposal Slopes'!$A$9:$BN$9,1),FALSE),0)+IFERROR(VLOOKUP($B24,'IA1-Final Void inc Ramps'!$A$11:$BN$18,MATCH(Summary!BH$1,'IA1-Final Void inc Ramps'!$A$9:$BN$9,1),FALSE),0)</f>
        <v>171.56</v>
      </c>
      <c r="BI24" s="47">
        <f>IFERROR(VLOOKUP($B24,'RA1- Elevated Dumps Upper'!$A$11:$BN$18,MATCH(Summary!BI$1,'RA1- Elevated Dumps Upper'!$A$9:$BN$9,1),FALSE),0)+IFERROR(VLOOKUP($B24,'RA2-Elevated Dumps Slopes'!$A$11:$BN$18,MATCH(Summary!BI$1,'RA2-Elevated Dumps Slopes'!$A$9:$BN$9,1),FALSE),0)+IFERROR(VLOOKUP($B24,'RA3-Backfilled Pits'!$A$11:$BN$18,MATCH(Summary!BI$1,'RA3-Backfilled Pits'!$A$9:$BN$9,1),FALSE),0)+IFERROR(VLOOKUP($B24,'RA4-Tracks_Roads'!$A$11:$BN$18,MATCH(Summary!BI$1,'RA4-Tracks_Roads'!$A$9:$BN$9,1),FALSE),0)+IFERROR(VLOOKUP($B24,'RA5-ROM'!$A$11:$BN$18,MATCH(Summary!BI$1,'RA5-ROM'!$A$9:$BN$9,1),FALSE),0)+IFERROR(VLOOKUP($B24,'RA6-CHPP'!$A$11:$BN$18,MATCH(Summary!BI$1,'RA6-CHPP'!$A$9:$BN$9,1),FALSE),0)+IFERROR(VLOOKUP($B24,'RA7-Mine Infrastructure Area'!$A$11:$BN$18,MATCH(Summary!BI$1,'RA7-Mine Infrastructure Area'!$A$9:$BN$9,1),FALSE),0)+IFERROR(VLOOKUP($B24,'RA8-Water Management Structures'!$A$11:$BN$18,MATCH(Summary!BI$1,'RA8-Water Management Structures'!$A$9:$BN$9,1),FALSE),0)+IFERROR(VLOOKUP($B24,'RA9-Codisposal Upper'!$A$11:$BN$18,MATCH(Summary!BI$1,'RA9-Codisposal Upper'!$A$9:$BN$9,1),FALSE),0)+IFERROR(VLOOKUP($B24,'RA10-Codisposal Slopes'!$A$11:$BN$18,MATCH(Summary!BI$1,'RA10-Codisposal Slopes'!$A$9:$BN$9,1),FALSE),0)+IFERROR(VLOOKUP($B24,'IA1-Final Void inc Ramps'!$A$11:$BN$18,MATCH(Summary!BI$1,'IA1-Final Void inc Ramps'!$A$9:$BN$9,1),FALSE),0)</f>
        <v>171.56</v>
      </c>
      <c r="BJ24" s="47">
        <f>IFERROR(VLOOKUP($B24,'RA1- Elevated Dumps Upper'!$A$11:$BN$18,MATCH(Summary!BJ$1,'RA1- Elevated Dumps Upper'!$A$9:$BN$9,1),FALSE),0)+IFERROR(VLOOKUP($B24,'RA2-Elevated Dumps Slopes'!$A$11:$BN$18,MATCH(Summary!BJ$1,'RA2-Elevated Dumps Slopes'!$A$9:$BN$9,1),FALSE),0)+IFERROR(VLOOKUP($B24,'RA3-Backfilled Pits'!$A$11:$BN$18,MATCH(Summary!BJ$1,'RA3-Backfilled Pits'!$A$9:$BN$9,1),FALSE),0)+IFERROR(VLOOKUP($B24,'RA4-Tracks_Roads'!$A$11:$BN$18,MATCH(Summary!BJ$1,'RA4-Tracks_Roads'!$A$9:$BN$9,1),FALSE),0)+IFERROR(VLOOKUP($B24,'RA5-ROM'!$A$11:$BN$18,MATCH(Summary!BJ$1,'RA5-ROM'!$A$9:$BN$9,1),FALSE),0)+IFERROR(VLOOKUP($B24,'RA6-CHPP'!$A$11:$BN$18,MATCH(Summary!BJ$1,'RA6-CHPP'!$A$9:$BN$9,1),FALSE),0)+IFERROR(VLOOKUP($B24,'RA7-Mine Infrastructure Area'!$A$11:$BN$18,MATCH(Summary!BJ$1,'RA7-Mine Infrastructure Area'!$A$9:$BN$9,1),FALSE),0)+IFERROR(VLOOKUP($B24,'RA8-Water Management Structures'!$A$11:$BN$18,MATCH(Summary!BJ$1,'RA8-Water Management Structures'!$A$9:$BN$9,1),FALSE),0)+IFERROR(VLOOKUP($B24,'RA9-Codisposal Upper'!$A$11:$BN$18,MATCH(Summary!BJ$1,'RA9-Codisposal Upper'!$A$9:$BN$9,1),FALSE),0)+IFERROR(VLOOKUP($B24,'RA10-Codisposal Slopes'!$A$11:$BN$18,MATCH(Summary!BJ$1,'RA10-Codisposal Slopes'!$A$9:$BN$9,1),FALSE),0)+IFERROR(VLOOKUP($B24,'IA1-Final Void inc Ramps'!$A$11:$BN$18,MATCH(Summary!BJ$1,'IA1-Final Void inc Ramps'!$A$9:$BN$9,1),FALSE),0)</f>
        <v>171.56</v>
      </c>
      <c r="BK24" s="47">
        <f>IFERROR(VLOOKUP($B24,'RA1- Elevated Dumps Upper'!$A$11:$BN$18,MATCH(Summary!BK$1,'RA1- Elevated Dumps Upper'!$A$9:$BN$9,1),FALSE),0)+IFERROR(VLOOKUP($B24,'RA2-Elevated Dumps Slopes'!$A$11:$BN$18,MATCH(Summary!BK$1,'RA2-Elevated Dumps Slopes'!$A$9:$BN$9,1),FALSE),0)+IFERROR(VLOOKUP($B24,'RA3-Backfilled Pits'!$A$11:$BN$18,MATCH(Summary!BK$1,'RA3-Backfilled Pits'!$A$9:$BN$9,1),FALSE),0)+IFERROR(VLOOKUP($B24,'RA4-Tracks_Roads'!$A$11:$BN$18,MATCH(Summary!BK$1,'RA4-Tracks_Roads'!$A$9:$BN$9,1),FALSE),0)+IFERROR(VLOOKUP($B24,'RA5-ROM'!$A$11:$BN$18,MATCH(Summary!BK$1,'RA5-ROM'!$A$9:$BN$9,1),FALSE),0)+IFERROR(VLOOKUP($B24,'RA6-CHPP'!$A$11:$BN$18,MATCH(Summary!BK$1,'RA6-CHPP'!$A$9:$BN$9,1),FALSE),0)+IFERROR(VLOOKUP($B24,'RA7-Mine Infrastructure Area'!$A$11:$BN$18,MATCH(Summary!BK$1,'RA7-Mine Infrastructure Area'!$A$9:$BN$9,1),FALSE),0)+IFERROR(VLOOKUP($B24,'RA8-Water Management Structures'!$A$11:$BN$18,MATCH(Summary!BK$1,'RA8-Water Management Structures'!$A$9:$BN$9,1),FALSE),0)+IFERROR(VLOOKUP($B24,'RA9-Codisposal Upper'!$A$11:$BN$18,MATCH(Summary!BK$1,'RA9-Codisposal Upper'!$A$9:$BN$9,1),FALSE),0)+IFERROR(VLOOKUP($B24,'RA10-Codisposal Slopes'!$A$11:$BN$18,MATCH(Summary!BK$1,'RA10-Codisposal Slopes'!$A$9:$BN$9,1),FALSE),0)+IFERROR(VLOOKUP($B24,'IA1-Final Void inc Ramps'!$A$11:$BN$18,MATCH(Summary!BK$1,'IA1-Final Void inc Ramps'!$A$9:$BN$9,1),FALSE),0)</f>
        <v>171.56</v>
      </c>
      <c r="BL24" s="47">
        <f>IFERROR(VLOOKUP($B24,'RA1- Elevated Dumps Upper'!$A$11:$BN$18,MATCH(Summary!BL$1,'RA1- Elevated Dumps Upper'!$A$9:$BN$9,1),FALSE),0)+IFERROR(VLOOKUP($B24,'RA2-Elevated Dumps Slopes'!$A$11:$BN$18,MATCH(Summary!BL$1,'RA2-Elevated Dumps Slopes'!$A$9:$BN$9,1),FALSE),0)+IFERROR(VLOOKUP($B24,'RA3-Backfilled Pits'!$A$11:$BN$18,MATCH(Summary!BL$1,'RA3-Backfilled Pits'!$A$9:$BN$9,1),FALSE),0)+IFERROR(VLOOKUP($B24,'RA4-Tracks_Roads'!$A$11:$BN$18,MATCH(Summary!BL$1,'RA4-Tracks_Roads'!$A$9:$BN$9,1),FALSE),0)+IFERROR(VLOOKUP($B24,'RA5-ROM'!$A$11:$BN$18,MATCH(Summary!BL$1,'RA5-ROM'!$A$9:$BN$9,1),FALSE),0)+IFERROR(VLOOKUP($B24,'RA6-CHPP'!$A$11:$BN$18,MATCH(Summary!BL$1,'RA6-CHPP'!$A$9:$BN$9,1),FALSE),0)+IFERROR(VLOOKUP($B24,'RA7-Mine Infrastructure Area'!$A$11:$BN$18,MATCH(Summary!BL$1,'RA7-Mine Infrastructure Area'!$A$9:$BN$9,1),FALSE),0)+IFERROR(VLOOKUP($B24,'RA8-Water Management Structures'!$A$11:$BN$18,MATCH(Summary!BL$1,'RA8-Water Management Structures'!$A$9:$BN$9,1),FALSE),0)+IFERROR(VLOOKUP($B24,'RA9-Codisposal Upper'!$A$11:$BN$18,MATCH(Summary!BL$1,'RA9-Codisposal Upper'!$A$9:$BN$9,1),FALSE),0)+IFERROR(VLOOKUP($B24,'RA10-Codisposal Slopes'!$A$11:$BN$18,MATCH(Summary!BL$1,'RA10-Codisposal Slopes'!$A$9:$BN$9,1),FALSE),0)+IFERROR(VLOOKUP($B24,'IA1-Final Void inc Ramps'!$A$11:$BN$18,MATCH(Summary!BL$1,'IA1-Final Void inc Ramps'!$A$9:$BN$9,1),FALSE),0)</f>
        <v>171.56</v>
      </c>
      <c r="BM24" s="47">
        <f>IFERROR(VLOOKUP($B24,'RA1- Elevated Dumps Upper'!$A$11:$BN$18,MATCH(Summary!BM$1,'RA1- Elevated Dumps Upper'!$A$9:$BN$9,1),FALSE),0)+IFERROR(VLOOKUP($B24,'RA2-Elevated Dumps Slopes'!$A$11:$BN$18,MATCH(Summary!BM$1,'RA2-Elevated Dumps Slopes'!$A$9:$BN$9,1),FALSE),0)+IFERROR(VLOOKUP($B24,'RA3-Backfilled Pits'!$A$11:$BN$18,MATCH(Summary!BM$1,'RA3-Backfilled Pits'!$A$9:$BN$9,1),FALSE),0)+IFERROR(VLOOKUP($B24,'RA4-Tracks_Roads'!$A$11:$BN$18,MATCH(Summary!BM$1,'RA4-Tracks_Roads'!$A$9:$BN$9,1),FALSE),0)+IFERROR(VLOOKUP($B24,'RA5-ROM'!$A$11:$BN$18,MATCH(Summary!BM$1,'RA5-ROM'!$A$9:$BN$9,1),FALSE),0)+IFERROR(VLOOKUP($B24,'RA6-CHPP'!$A$11:$BN$18,MATCH(Summary!BM$1,'RA6-CHPP'!$A$9:$BN$9,1),FALSE),0)+IFERROR(VLOOKUP($B24,'RA7-Mine Infrastructure Area'!$A$11:$BN$18,MATCH(Summary!BM$1,'RA7-Mine Infrastructure Area'!$A$9:$BN$9,1),FALSE),0)+IFERROR(VLOOKUP($B24,'RA8-Water Management Structures'!$A$11:$BN$18,MATCH(Summary!BM$1,'RA8-Water Management Structures'!$A$9:$BN$9,1),FALSE),0)+IFERROR(VLOOKUP($B24,'RA9-Codisposal Upper'!$A$11:$BN$18,MATCH(Summary!BM$1,'RA9-Codisposal Upper'!$A$9:$BN$9,1),FALSE),0)+IFERROR(VLOOKUP($B24,'RA10-Codisposal Slopes'!$A$11:$BN$18,MATCH(Summary!BM$1,'RA10-Codisposal Slopes'!$A$9:$BN$9,1),FALSE),0)+IFERROR(VLOOKUP($B24,'IA1-Final Void inc Ramps'!$A$11:$BN$18,MATCH(Summary!BM$1,'IA1-Final Void inc Ramps'!$A$9:$BN$9,1),FALSE),0)</f>
        <v>171.56</v>
      </c>
      <c r="BN24" s="47">
        <f>IFERROR(VLOOKUP($B24,'RA1- Elevated Dumps Upper'!$A$11:$BN$18,MATCH(Summary!BN$1,'RA1- Elevated Dumps Upper'!$A$9:$BN$9,1),FALSE),0)+IFERROR(VLOOKUP($B24,'RA2-Elevated Dumps Slopes'!$A$11:$BN$18,MATCH(Summary!BN$1,'RA2-Elevated Dumps Slopes'!$A$9:$BN$9,1),FALSE),0)+IFERROR(VLOOKUP($B24,'RA3-Backfilled Pits'!$A$11:$BN$18,MATCH(Summary!BN$1,'RA3-Backfilled Pits'!$A$9:$BN$9,1),FALSE),0)+IFERROR(VLOOKUP($B24,'RA4-Tracks_Roads'!$A$11:$BN$18,MATCH(Summary!BN$1,'RA4-Tracks_Roads'!$A$9:$BN$9,1),FALSE),0)+IFERROR(VLOOKUP($B24,'RA5-ROM'!$A$11:$BN$18,MATCH(Summary!BN$1,'RA5-ROM'!$A$9:$BN$9,1),FALSE),0)+IFERROR(VLOOKUP($B24,'RA6-CHPP'!$A$11:$BN$18,MATCH(Summary!BN$1,'RA6-CHPP'!$A$9:$BN$9,1),FALSE),0)+IFERROR(VLOOKUP($B24,'RA7-Mine Infrastructure Area'!$A$11:$BN$18,MATCH(Summary!BN$1,'RA7-Mine Infrastructure Area'!$A$9:$BN$9,1),FALSE),0)+IFERROR(VLOOKUP($B24,'RA8-Water Management Structures'!$A$11:$BN$18,MATCH(Summary!BN$1,'RA8-Water Management Structures'!$A$9:$BN$9,1),FALSE),0)+IFERROR(VLOOKUP($B24,'RA9-Codisposal Upper'!$A$11:$BN$18,MATCH(Summary!BN$1,'RA9-Codisposal Upper'!$A$9:$BN$9,1),FALSE),0)+IFERROR(VLOOKUP($B24,'RA10-Codisposal Slopes'!$A$11:$BN$18,MATCH(Summary!BN$1,'RA10-Codisposal Slopes'!$A$9:$BN$9,1),FALSE),0)+IFERROR(VLOOKUP($B24,'IA1-Final Void inc Ramps'!$A$11:$BN$18,MATCH(Summary!BN$1,'IA1-Final Void inc Ramps'!$A$9:$BN$9,1),FALSE),0)</f>
        <v>171.56</v>
      </c>
    </row>
    <row r="25" spans="1:66" x14ac:dyDescent="0.35">
      <c r="B25" t="s">
        <v>58</v>
      </c>
      <c r="D25" s="47">
        <f>IFERROR(VLOOKUP($B25,'RA1- Elevated Dumps Upper'!$A$11:$BN$18,MATCH(Summary!D$1,'RA1- Elevated Dumps Upper'!$A$9:$BN$9,1),FALSE),0)+IFERROR(VLOOKUP($B25,'RA2-Elevated Dumps Slopes'!$A$11:$BN$18,MATCH(Summary!D$1,'RA2-Elevated Dumps Slopes'!$A$9:$BN$9,1),FALSE),0)+IFERROR(VLOOKUP($B25,'RA3-Backfilled Pits'!$A$11:$BN$18,MATCH(Summary!D$1,'RA3-Backfilled Pits'!$A$9:$BN$9,1),FALSE),0)+IFERROR(VLOOKUP($B25,'RA4-Tracks_Roads'!$A$11:$BN$18,MATCH(Summary!D$1,'RA4-Tracks_Roads'!$A$9:$BN$9,1),FALSE),0)+IFERROR(VLOOKUP($B25,'RA5-ROM'!$A$11:$BN$18,MATCH(Summary!D$1,'RA5-ROM'!$A$9:$BN$9,1),FALSE),0)+IFERROR(VLOOKUP($B25,'RA6-CHPP'!$A$11:$BN$18,MATCH(Summary!D$1,'RA6-CHPP'!$A$9:$BN$9,1),FALSE),0)+IFERROR(VLOOKUP($B25,'RA7-Mine Infrastructure Area'!$A$11:$BN$18,MATCH(Summary!D$1,'RA7-Mine Infrastructure Area'!$A$9:$BN$9,1),FALSE),0)+IFERROR(VLOOKUP($B25,'RA8-Water Management Structures'!$A$11:$BN$18,MATCH(Summary!D$1,'RA8-Water Management Structures'!$A$9:$BN$9,1),FALSE),0)+IFERROR(VLOOKUP($B25,'RA9-Codisposal Upper'!$A$11:$BN$18,MATCH(Summary!D$1,'RA9-Codisposal Upper'!$A$9:$BN$9,1),FALSE),0)+IFERROR(VLOOKUP($B25,'RA10-Codisposal Slopes'!$A$11:$BN$18,MATCH(Summary!D$1,'RA10-Codisposal Slopes'!$A$9:$BN$9,1),FALSE),0)+IFERROR(VLOOKUP($B25,'IA1-Final Void inc Ramps'!$A$11:$BN$18,MATCH(Summary!D$1,'IA1-Final Void inc Ramps'!$A$9:$BN$9,1),FALSE),0)</f>
        <v>0</v>
      </c>
      <c r="E25" s="47">
        <f>IFERROR(VLOOKUP($B25,'RA1- Elevated Dumps Upper'!$A$11:$BN$18,MATCH(Summary!E$1,'RA1- Elevated Dumps Upper'!$A$9:$BN$9,1),FALSE),0)+IFERROR(VLOOKUP($B25,'RA2-Elevated Dumps Slopes'!$A$11:$BN$18,MATCH(Summary!E$1,'RA2-Elevated Dumps Slopes'!$A$9:$BN$9,1),FALSE),0)+IFERROR(VLOOKUP($B25,'RA3-Backfilled Pits'!$A$11:$BN$18,MATCH(Summary!E$1,'RA3-Backfilled Pits'!$A$9:$BN$9,1),FALSE),0)+IFERROR(VLOOKUP($B25,'RA4-Tracks_Roads'!$A$11:$BN$18,MATCH(Summary!E$1,'RA4-Tracks_Roads'!$A$9:$BN$9,1),FALSE),0)+IFERROR(VLOOKUP($B25,'RA5-ROM'!$A$11:$BN$18,MATCH(Summary!E$1,'RA5-ROM'!$A$9:$BN$9,1),FALSE),0)+IFERROR(VLOOKUP($B25,'RA6-CHPP'!$A$11:$BN$18,MATCH(Summary!E$1,'RA6-CHPP'!$A$9:$BN$9,1),FALSE),0)+IFERROR(VLOOKUP($B25,'RA7-Mine Infrastructure Area'!$A$11:$BN$18,MATCH(Summary!E$1,'RA7-Mine Infrastructure Area'!$A$9:$BN$9,1),FALSE),0)+IFERROR(VLOOKUP($B25,'RA8-Water Management Structures'!$A$11:$BN$18,MATCH(Summary!E$1,'RA8-Water Management Structures'!$A$9:$BN$9,1),FALSE),0)+IFERROR(VLOOKUP($B25,'RA9-Codisposal Upper'!$A$11:$BN$18,MATCH(Summary!E$1,'RA9-Codisposal Upper'!$A$9:$BN$9,1),FALSE),0)+IFERROR(VLOOKUP($B25,'RA10-Codisposal Slopes'!$A$11:$BN$18,MATCH(Summary!E$1,'RA10-Codisposal Slopes'!$A$9:$BN$9,1),FALSE),0)+IFERROR(VLOOKUP($B25,'IA1-Final Void inc Ramps'!$A$11:$BN$18,MATCH(Summary!E$1,'IA1-Final Void inc Ramps'!$A$9:$BN$9,1),FALSE),0)</f>
        <v>0</v>
      </c>
      <c r="F25" s="47">
        <f>IFERROR(VLOOKUP($B25,'RA1- Elevated Dumps Upper'!$A$11:$BN$18,MATCH(Summary!F$1,'RA1- Elevated Dumps Upper'!$A$9:$BN$9,1),FALSE),0)+IFERROR(VLOOKUP($B25,'RA2-Elevated Dumps Slopes'!$A$11:$BN$18,MATCH(Summary!F$1,'RA2-Elevated Dumps Slopes'!$A$9:$BN$9,1),FALSE),0)+IFERROR(VLOOKUP($B25,'RA3-Backfilled Pits'!$A$11:$BN$18,MATCH(Summary!F$1,'RA3-Backfilled Pits'!$A$9:$BN$9,1),FALSE),0)+IFERROR(VLOOKUP($B25,'RA4-Tracks_Roads'!$A$11:$BN$18,MATCH(Summary!F$1,'RA4-Tracks_Roads'!$A$9:$BN$9,1),FALSE),0)+IFERROR(VLOOKUP($B25,'RA5-ROM'!$A$11:$BN$18,MATCH(Summary!F$1,'RA5-ROM'!$A$9:$BN$9,1),FALSE),0)+IFERROR(VLOOKUP($B25,'RA6-CHPP'!$A$11:$BN$18,MATCH(Summary!F$1,'RA6-CHPP'!$A$9:$BN$9,1),FALSE),0)+IFERROR(VLOOKUP($B25,'RA7-Mine Infrastructure Area'!$A$11:$BN$18,MATCH(Summary!F$1,'RA7-Mine Infrastructure Area'!$A$9:$BN$9,1),FALSE),0)+IFERROR(VLOOKUP($B25,'RA8-Water Management Structures'!$A$11:$BN$18,MATCH(Summary!F$1,'RA8-Water Management Structures'!$A$9:$BN$9,1),FALSE),0)+IFERROR(VLOOKUP($B25,'RA9-Codisposal Upper'!$A$11:$BN$18,MATCH(Summary!F$1,'RA9-Codisposal Upper'!$A$9:$BN$9,1),FALSE),0)+IFERROR(VLOOKUP($B25,'RA10-Codisposal Slopes'!$A$11:$BN$18,MATCH(Summary!F$1,'RA10-Codisposal Slopes'!$A$9:$BN$9,1),FALSE),0)+IFERROR(VLOOKUP($B25,'IA1-Final Void inc Ramps'!$A$11:$BN$18,MATCH(Summary!F$1,'IA1-Final Void inc Ramps'!$A$9:$BN$9,1),FALSE),0)</f>
        <v>0</v>
      </c>
      <c r="G25" s="47">
        <f>IFERROR(VLOOKUP($B25,'RA1- Elevated Dumps Upper'!$A$11:$BN$18,MATCH(Summary!G$1,'RA1- Elevated Dumps Upper'!$A$9:$BN$9,1),FALSE),0)+IFERROR(VLOOKUP($B25,'RA2-Elevated Dumps Slopes'!$A$11:$BN$18,MATCH(Summary!G$1,'RA2-Elevated Dumps Slopes'!$A$9:$BN$9,1),FALSE),0)+IFERROR(VLOOKUP($B25,'RA3-Backfilled Pits'!$A$11:$BN$18,MATCH(Summary!G$1,'RA3-Backfilled Pits'!$A$9:$BN$9,1),FALSE),0)+IFERROR(VLOOKUP($B25,'RA4-Tracks_Roads'!$A$11:$BN$18,MATCH(Summary!G$1,'RA4-Tracks_Roads'!$A$9:$BN$9,1),FALSE),0)+IFERROR(VLOOKUP($B25,'RA5-ROM'!$A$11:$BN$18,MATCH(Summary!G$1,'RA5-ROM'!$A$9:$BN$9,1),FALSE),0)+IFERROR(VLOOKUP($B25,'RA6-CHPP'!$A$11:$BN$18,MATCH(Summary!G$1,'RA6-CHPP'!$A$9:$BN$9,1),FALSE),0)+IFERROR(VLOOKUP($B25,'RA7-Mine Infrastructure Area'!$A$11:$BN$18,MATCH(Summary!G$1,'RA7-Mine Infrastructure Area'!$A$9:$BN$9,1),FALSE),0)+IFERROR(VLOOKUP($B25,'RA8-Water Management Structures'!$A$11:$BN$18,MATCH(Summary!G$1,'RA8-Water Management Structures'!$A$9:$BN$9,1),FALSE),0)+IFERROR(VLOOKUP($B25,'RA9-Codisposal Upper'!$A$11:$BN$18,MATCH(Summary!G$1,'RA9-Codisposal Upper'!$A$9:$BN$9,1),FALSE),0)+IFERROR(VLOOKUP($B25,'RA10-Codisposal Slopes'!$A$11:$BN$18,MATCH(Summary!G$1,'RA10-Codisposal Slopes'!$A$9:$BN$9,1),FALSE),0)+IFERROR(VLOOKUP($B25,'IA1-Final Void inc Ramps'!$A$11:$BN$18,MATCH(Summary!G$1,'IA1-Final Void inc Ramps'!$A$9:$BN$9,1),FALSE),0)</f>
        <v>0</v>
      </c>
      <c r="H25" s="47">
        <f>IFERROR(VLOOKUP($B25,'RA1- Elevated Dumps Upper'!$A$11:$BN$18,MATCH(Summary!H$1,'RA1- Elevated Dumps Upper'!$A$9:$BN$9,1),FALSE),0)+IFERROR(VLOOKUP($B25,'RA2-Elevated Dumps Slopes'!$A$11:$BN$18,MATCH(Summary!H$1,'RA2-Elevated Dumps Slopes'!$A$9:$BN$9,1),FALSE),0)+IFERROR(VLOOKUP($B25,'RA3-Backfilled Pits'!$A$11:$BN$18,MATCH(Summary!H$1,'RA3-Backfilled Pits'!$A$9:$BN$9,1),FALSE),0)+IFERROR(VLOOKUP($B25,'RA4-Tracks_Roads'!$A$11:$BN$18,MATCH(Summary!H$1,'RA4-Tracks_Roads'!$A$9:$BN$9,1),FALSE),0)+IFERROR(VLOOKUP($B25,'RA5-ROM'!$A$11:$BN$18,MATCH(Summary!H$1,'RA5-ROM'!$A$9:$BN$9,1),FALSE),0)+IFERROR(VLOOKUP($B25,'RA6-CHPP'!$A$11:$BN$18,MATCH(Summary!H$1,'RA6-CHPP'!$A$9:$BN$9,1),FALSE),0)+IFERROR(VLOOKUP($B25,'RA7-Mine Infrastructure Area'!$A$11:$BN$18,MATCH(Summary!H$1,'RA7-Mine Infrastructure Area'!$A$9:$BN$9,1),FALSE),0)+IFERROR(VLOOKUP($B25,'RA8-Water Management Structures'!$A$11:$BN$18,MATCH(Summary!H$1,'RA8-Water Management Structures'!$A$9:$BN$9,1),FALSE),0)+IFERROR(VLOOKUP($B25,'RA9-Codisposal Upper'!$A$11:$BN$18,MATCH(Summary!H$1,'RA9-Codisposal Upper'!$A$9:$BN$9,1),FALSE),0)+IFERROR(VLOOKUP($B25,'RA10-Codisposal Slopes'!$A$11:$BN$18,MATCH(Summary!H$1,'RA10-Codisposal Slopes'!$A$9:$BN$9,1),FALSE),0)+IFERROR(VLOOKUP($B25,'IA1-Final Void inc Ramps'!$A$11:$BN$18,MATCH(Summary!H$1,'IA1-Final Void inc Ramps'!$A$9:$BN$9,1),FALSE),0)</f>
        <v>0</v>
      </c>
      <c r="I25" s="47">
        <f>IFERROR(VLOOKUP($B25,'RA1- Elevated Dumps Upper'!$A$11:$BN$18,MATCH(Summary!I$1,'RA1- Elevated Dumps Upper'!$A$9:$BN$9,1),FALSE),0)+IFERROR(VLOOKUP($B25,'RA2-Elevated Dumps Slopes'!$A$11:$BN$18,MATCH(Summary!I$1,'RA2-Elevated Dumps Slopes'!$A$9:$BN$9,1),FALSE),0)+IFERROR(VLOOKUP($B25,'RA3-Backfilled Pits'!$A$11:$BN$18,MATCH(Summary!I$1,'RA3-Backfilled Pits'!$A$9:$BN$9,1),FALSE),0)+IFERROR(VLOOKUP($B25,'RA4-Tracks_Roads'!$A$11:$BN$18,MATCH(Summary!I$1,'RA4-Tracks_Roads'!$A$9:$BN$9,1),FALSE),0)+IFERROR(VLOOKUP($B25,'RA5-ROM'!$A$11:$BN$18,MATCH(Summary!I$1,'RA5-ROM'!$A$9:$BN$9,1),FALSE),0)+IFERROR(VLOOKUP($B25,'RA6-CHPP'!$A$11:$BN$18,MATCH(Summary!I$1,'RA6-CHPP'!$A$9:$BN$9,1),FALSE),0)+IFERROR(VLOOKUP($B25,'RA7-Mine Infrastructure Area'!$A$11:$BN$18,MATCH(Summary!I$1,'RA7-Mine Infrastructure Area'!$A$9:$BN$9,1),FALSE),0)+IFERROR(VLOOKUP($B25,'RA8-Water Management Structures'!$A$11:$BN$18,MATCH(Summary!I$1,'RA8-Water Management Structures'!$A$9:$BN$9,1),FALSE),0)+IFERROR(VLOOKUP($B25,'RA9-Codisposal Upper'!$A$11:$BN$18,MATCH(Summary!I$1,'RA9-Codisposal Upper'!$A$9:$BN$9,1),FALSE),0)+IFERROR(VLOOKUP($B25,'RA10-Codisposal Slopes'!$A$11:$BN$18,MATCH(Summary!I$1,'RA10-Codisposal Slopes'!$A$9:$BN$9,1),FALSE),0)+IFERROR(VLOOKUP($B25,'IA1-Final Void inc Ramps'!$A$11:$BN$18,MATCH(Summary!I$1,'IA1-Final Void inc Ramps'!$A$9:$BN$9,1),FALSE),0)</f>
        <v>0</v>
      </c>
      <c r="J25" s="47">
        <f>IFERROR(VLOOKUP($B25,'RA1- Elevated Dumps Upper'!$A$11:$BN$18,MATCH(Summary!J$1,'RA1- Elevated Dumps Upper'!$A$9:$BN$9,1),FALSE),0)+IFERROR(VLOOKUP($B25,'RA2-Elevated Dumps Slopes'!$A$11:$BN$18,MATCH(Summary!J$1,'RA2-Elevated Dumps Slopes'!$A$9:$BN$9,1),FALSE),0)+IFERROR(VLOOKUP($B25,'RA3-Backfilled Pits'!$A$11:$BN$18,MATCH(Summary!J$1,'RA3-Backfilled Pits'!$A$9:$BN$9,1),FALSE),0)+IFERROR(VLOOKUP($B25,'RA4-Tracks_Roads'!$A$11:$BN$18,MATCH(Summary!J$1,'RA4-Tracks_Roads'!$A$9:$BN$9,1),FALSE),0)+IFERROR(VLOOKUP($B25,'RA5-ROM'!$A$11:$BN$18,MATCH(Summary!J$1,'RA5-ROM'!$A$9:$BN$9,1),FALSE),0)+IFERROR(VLOOKUP($B25,'RA6-CHPP'!$A$11:$BN$18,MATCH(Summary!J$1,'RA6-CHPP'!$A$9:$BN$9,1),FALSE),0)+IFERROR(VLOOKUP($B25,'RA7-Mine Infrastructure Area'!$A$11:$BN$18,MATCH(Summary!J$1,'RA7-Mine Infrastructure Area'!$A$9:$BN$9,1),FALSE),0)+IFERROR(VLOOKUP($B25,'RA8-Water Management Structures'!$A$11:$BN$18,MATCH(Summary!J$1,'RA8-Water Management Structures'!$A$9:$BN$9,1),FALSE),0)+IFERROR(VLOOKUP($B25,'RA9-Codisposal Upper'!$A$11:$BN$18,MATCH(Summary!J$1,'RA9-Codisposal Upper'!$A$9:$BN$9,1),FALSE),0)+IFERROR(VLOOKUP($B25,'RA10-Codisposal Slopes'!$A$11:$BN$18,MATCH(Summary!J$1,'RA10-Codisposal Slopes'!$A$9:$BN$9,1),FALSE),0)+IFERROR(VLOOKUP($B25,'IA1-Final Void inc Ramps'!$A$11:$BN$18,MATCH(Summary!J$1,'IA1-Final Void inc Ramps'!$A$9:$BN$9,1),FALSE),0)</f>
        <v>0</v>
      </c>
      <c r="K25" s="47">
        <f>IFERROR(VLOOKUP($B25,'RA1- Elevated Dumps Upper'!$A$11:$BN$18,MATCH(Summary!K$1,'RA1- Elevated Dumps Upper'!$A$9:$BN$9,1),FALSE),0)+IFERROR(VLOOKUP($B25,'RA2-Elevated Dumps Slopes'!$A$11:$BN$18,MATCH(Summary!K$1,'RA2-Elevated Dumps Slopes'!$A$9:$BN$9,1),FALSE),0)+IFERROR(VLOOKUP($B25,'RA3-Backfilled Pits'!$A$11:$BN$18,MATCH(Summary!K$1,'RA3-Backfilled Pits'!$A$9:$BN$9,1),FALSE),0)+IFERROR(VLOOKUP($B25,'RA4-Tracks_Roads'!$A$11:$BN$18,MATCH(Summary!K$1,'RA4-Tracks_Roads'!$A$9:$BN$9,1),FALSE),0)+IFERROR(VLOOKUP($B25,'RA5-ROM'!$A$11:$BN$18,MATCH(Summary!K$1,'RA5-ROM'!$A$9:$BN$9,1),FALSE),0)+IFERROR(VLOOKUP($B25,'RA6-CHPP'!$A$11:$BN$18,MATCH(Summary!K$1,'RA6-CHPP'!$A$9:$BN$9,1),FALSE),0)+IFERROR(VLOOKUP($B25,'RA7-Mine Infrastructure Area'!$A$11:$BN$18,MATCH(Summary!K$1,'RA7-Mine Infrastructure Area'!$A$9:$BN$9,1),FALSE),0)+IFERROR(VLOOKUP($B25,'RA8-Water Management Structures'!$A$11:$BN$18,MATCH(Summary!K$1,'RA8-Water Management Structures'!$A$9:$BN$9,1),FALSE),0)+IFERROR(VLOOKUP($B25,'RA9-Codisposal Upper'!$A$11:$BN$18,MATCH(Summary!K$1,'RA9-Codisposal Upper'!$A$9:$BN$9,1),FALSE),0)+IFERROR(VLOOKUP($B25,'RA10-Codisposal Slopes'!$A$11:$BN$18,MATCH(Summary!K$1,'RA10-Codisposal Slopes'!$A$9:$BN$9,1),FALSE),0)+IFERROR(VLOOKUP($B25,'IA1-Final Void inc Ramps'!$A$11:$BN$18,MATCH(Summary!K$1,'IA1-Final Void inc Ramps'!$A$9:$BN$9,1),FALSE),0)</f>
        <v>0</v>
      </c>
      <c r="L25" s="47">
        <f>IFERROR(VLOOKUP($B25,'RA1- Elevated Dumps Upper'!$A$11:$BN$18,MATCH(Summary!L$1,'RA1- Elevated Dumps Upper'!$A$9:$BN$9,1),FALSE),0)+IFERROR(VLOOKUP($B25,'RA2-Elevated Dumps Slopes'!$A$11:$BN$18,MATCH(Summary!L$1,'RA2-Elevated Dumps Slopes'!$A$9:$BN$9,1),FALSE),0)+IFERROR(VLOOKUP($B25,'RA3-Backfilled Pits'!$A$11:$BN$18,MATCH(Summary!L$1,'RA3-Backfilled Pits'!$A$9:$BN$9,1),FALSE),0)+IFERROR(VLOOKUP($B25,'RA4-Tracks_Roads'!$A$11:$BN$18,MATCH(Summary!L$1,'RA4-Tracks_Roads'!$A$9:$BN$9,1),FALSE),0)+IFERROR(VLOOKUP($B25,'RA5-ROM'!$A$11:$BN$18,MATCH(Summary!L$1,'RA5-ROM'!$A$9:$BN$9,1),FALSE),0)+IFERROR(VLOOKUP($B25,'RA6-CHPP'!$A$11:$BN$18,MATCH(Summary!L$1,'RA6-CHPP'!$A$9:$BN$9,1),FALSE),0)+IFERROR(VLOOKUP($B25,'RA7-Mine Infrastructure Area'!$A$11:$BN$18,MATCH(Summary!L$1,'RA7-Mine Infrastructure Area'!$A$9:$BN$9,1),FALSE),0)+IFERROR(VLOOKUP($B25,'RA8-Water Management Structures'!$A$11:$BN$18,MATCH(Summary!L$1,'RA8-Water Management Structures'!$A$9:$BN$9,1),FALSE),0)+IFERROR(VLOOKUP($B25,'RA9-Codisposal Upper'!$A$11:$BN$18,MATCH(Summary!L$1,'RA9-Codisposal Upper'!$A$9:$BN$9,1),FALSE),0)+IFERROR(VLOOKUP($B25,'RA10-Codisposal Slopes'!$A$11:$BN$18,MATCH(Summary!L$1,'RA10-Codisposal Slopes'!$A$9:$BN$9,1),FALSE),0)+IFERROR(VLOOKUP($B25,'IA1-Final Void inc Ramps'!$A$11:$BN$18,MATCH(Summary!L$1,'IA1-Final Void inc Ramps'!$A$9:$BN$9,1),FALSE),0)</f>
        <v>0</v>
      </c>
      <c r="M25" s="47">
        <f>IFERROR(VLOOKUP($B25,'RA1- Elevated Dumps Upper'!$A$11:$BN$18,MATCH(Summary!M$1,'RA1- Elevated Dumps Upper'!$A$9:$BN$9,1),FALSE),0)+IFERROR(VLOOKUP($B25,'RA2-Elevated Dumps Slopes'!$A$11:$BN$18,MATCH(Summary!M$1,'RA2-Elevated Dumps Slopes'!$A$9:$BN$9,1),FALSE),0)+IFERROR(VLOOKUP($B25,'RA3-Backfilled Pits'!$A$11:$BN$18,MATCH(Summary!M$1,'RA3-Backfilled Pits'!$A$9:$BN$9,1),FALSE),0)+IFERROR(VLOOKUP($B25,'RA4-Tracks_Roads'!$A$11:$BN$18,MATCH(Summary!M$1,'RA4-Tracks_Roads'!$A$9:$BN$9,1),FALSE),0)+IFERROR(VLOOKUP($B25,'RA5-ROM'!$A$11:$BN$18,MATCH(Summary!M$1,'RA5-ROM'!$A$9:$BN$9,1),FALSE),0)+IFERROR(VLOOKUP($B25,'RA6-CHPP'!$A$11:$BN$18,MATCH(Summary!M$1,'RA6-CHPP'!$A$9:$BN$9,1),FALSE),0)+IFERROR(VLOOKUP($B25,'RA7-Mine Infrastructure Area'!$A$11:$BN$18,MATCH(Summary!M$1,'RA7-Mine Infrastructure Area'!$A$9:$BN$9,1),FALSE),0)+IFERROR(VLOOKUP($B25,'RA8-Water Management Structures'!$A$11:$BN$18,MATCH(Summary!M$1,'RA8-Water Management Structures'!$A$9:$BN$9,1),FALSE),0)+IFERROR(VLOOKUP($B25,'RA9-Codisposal Upper'!$A$11:$BN$18,MATCH(Summary!M$1,'RA9-Codisposal Upper'!$A$9:$BN$9,1),FALSE),0)+IFERROR(VLOOKUP($B25,'RA10-Codisposal Slopes'!$A$11:$BN$18,MATCH(Summary!M$1,'RA10-Codisposal Slopes'!$A$9:$BN$9,1),FALSE),0)+IFERROR(VLOOKUP($B25,'IA1-Final Void inc Ramps'!$A$11:$BN$18,MATCH(Summary!M$1,'IA1-Final Void inc Ramps'!$A$9:$BN$9,1),FALSE),0)</f>
        <v>0</v>
      </c>
      <c r="N25" s="47">
        <f>IFERROR(VLOOKUP($B25,'RA1- Elevated Dumps Upper'!$A$11:$BN$18,MATCH(Summary!N$1,'RA1- Elevated Dumps Upper'!$A$9:$BN$9,1),FALSE),0)+IFERROR(VLOOKUP($B25,'RA2-Elevated Dumps Slopes'!$A$11:$BN$18,MATCH(Summary!N$1,'RA2-Elevated Dumps Slopes'!$A$9:$BN$9,1),FALSE),0)+IFERROR(VLOOKUP($B25,'RA3-Backfilled Pits'!$A$11:$BN$18,MATCH(Summary!N$1,'RA3-Backfilled Pits'!$A$9:$BN$9,1),FALSE),0)+IFERROR(VLOOKUP($B25,'RA4-Tracks_Roads'!$A$11:$BN$18,MATCH(Summary!N$1,'RA4-Tracks_Roads'!$A$9:$BN$9,1),FALSE),0)+IFERROR(VLOOKUP($B25,'RA5-ROM'!$A$11:$BN$18,MATCH(Summary!N$1,'RA5-ROM'!$A$9:$BN$9,1),FALSE),0)+IFERROR(VLOOKUP($B25,'RA6-CHPP'!$A$11:$BN$18,MATCH(Summary!N$1,'RA6-CHPP'!$A$9:$BN$9,1),FALSE),0)+IFERROR(VLOOKUP($B25,'RA7-Mine Infrastructure Area'!$A$11:$BN$18,MATCH(Summary!N$1,'RA7-Mine Infrastructure Area'!$A$9:$BN$9,1),FALSE),0)+IFERROR(VLOOKUP($B25,'RA8-Water Management Structures'!$A$11:$BN$18,MATCH(Summary!N$1,'RA8-Water Management Structures'!$A$9:$BN$9,1),FALSE),0)+IFERROR(VLOOKUP($B25,'RA9-Codisposal Upper'!$A$11:$BN$18,MATCH(Summary!N$1,'RA9-Codisposal Upper'!$A$9:$BN$9,1),FALSE),0)+IFERROR(VLOOKUP($B25,'RA10-Codisposal Slopes'!$A$11:$BN$18,MATCH(Summary!N$1,'RA10-Codisposal Slopes'!$A$9:$BN$9,1),FALSE),0)+IFERROR(VLOOKUP($B25,'IA1-Final Void inc Ramps'!$A$11:$BN$18,MATCH(Summary!N$1,'IA1-Final Void inc Ramps'!$A$9:$BN$9,1),FALSE),0)</f>
        <v>0</v>
      </c>
      <c r="O25" s="47">
        <f>IFERROR(VLOOKUP($B25,'RA1- Elevated Dumps Upper'!$A$11:$BN$18,MATCH(Summary!O$1,'RA1- Elevated Dumps Upper'!$A$9:$BN$9,1),FALSE),0)+IFERROR(VLOOKUP($B25,'RA2-Elevated Dumps Slopes'!$A$11:$BN$18,MATCH(Summary!O$1,'RA2-Elevated Dumps Slopes'!$A$9:$BN$9,1),FALSE),0)+IFERROR(VLOOKUP($B25,'RA3-Backfilled Pits'!$A$11:$BN$18,MATCH(Summary!O$1,'RA3-Backfilled Pits'!$A$9:$BN$9,1),FALSE),0)+IFERROR(VLOOKUP($B25,'RA4-Tracks_Roads'!$A$11:$BN$18,MATCH(Summary!O$1,'RA4-Tracks_Roads'!$A$9:$BN$9,1),FALSE),0)+IFERROR(VLOOKUP($B25,'RA5-ROM'!$A$11:$BN$18,MATCH(Summary!O$1,'RA5-ROM'!$A$9:$BN$9,1),FALSE),0)+IFERROR(VLOOKUP($B25,'RA6-CHPP'!$A$11:$BN$18,MATCH(Summary!O$1,'RA6-CHPP'!$A$9:$BN$9,1),FALSE),0)+IFERROR(VLOOKUP($B25,'RA7-Mine Infrastructure Area'!$A$11:$BN$18,MATCH(Summary!O$1,'RA7-Mine Infrastructure Area'!$A$9:$BN$9,1),FALSE),0)+IFERROR(VLOOKUP($B25,'RA8-Water Management Structures'!$A$11:$BN$18,MATCH(Summary!O$1,'RA8-Water Management Structures'!$A$9:$BN$9,1),FALSE),0)+IFERROR(VLOOKUP($B25,'RA9-Codisposal Upper'!$A$11:$BN$18,MATCH(Summary!O$1,'RA9-Codisposal Upper'!$A$9:$BN$9,1),FALSE),0)+IFERROR(VLOOKUP($B25,'RA10-Codisposal Slopes'!$A$11:$BN$18,MATCH(Summary!O$1,'RA10-Codisposal Slopes'!$A$9:$BN$9,1),FALSE),0)+IFERROR(VLOOKUP($B25,'IA1-Final Void inc Ramps'!$A$11:$BN$18,MATCH(Summary!O$1,'IA1-Final Void inc Ramps'!$A$9:$BN$9,1),FALSE),0)</f>
        <v>0</v>
      </c>
      <c r="P25" s="47">
        <f>IFERROR(VLOOKUP($B25,'RA1- Elevated Dumps Upper'!$A$11:$BN$18,MATCH(Summary!P$1,'RA1- Elevated Dumps Upper'!$A$9:$BN$9,1),FALSE),0)+IFERROR(VLOOKUP($B25,'RA2-Elevated Dumps Slopes'!$A$11:$BN$18,MATCH(Summary!P$1,'RA2-Elevated Dumps Slopes'!$A$9:$BN$9,1),FALSE),0)+IFERROR(VLOOKUP($B25,'RA3-Backfilled Pits'!$A$11:$BN$18,MATCH(Summary!P$1,'RA3-Backfilled Pits'!$A$9:$BN$9,1),FALSE),0)+IFERROR(VLOOKUP($B25,'RA4-Tracks_Roads'!$A$11:$BN$18,MATCH(Summary!P$1,'RA4-Tracks_Roads'!$A$9:$BN$9,1),FALSE),0)+IFERROR(VLOOKUP($B25,'RA5-ROM'!$A$11:$BN$18,MATCH(Summary!P$1,'RA5-ROM'!$A$9:$BN$9,1),FALSE),0)+IFERROR(VLOOKUP($B25,'RA6-CHPP'!$A$11:$BN$18,MATCH(Summary!P$1,'RA6-CHPP'!$A$9:$BN$9,1),FALSE),0)+IFERROR(VLOOKUP($B25,'RA7-Mine Infrastructure Area'!$A$11:$BN$18,MATCH(Summary!P$1,'RA7-Mine Infrastructure Area'!$A$9:$BN$9,1),FALSE),0)+IFERROR(VLOOKUP($B25,'RA8-Water Management Structures'!$A$11:$BN$18,MATCH(Summary!P$1,'RA8-Water Management Structures'!$A$9:$BN$9,1),FALSE),0)+IFERROR(VLOOKUP($B25,'RA9-Codisposal Upper'!$A$11:$BN$18,MATCH(Summary!P$1,'RA9-Codisposal Upper'!$A$9:$BN$9,1),FALSE),0)+IFERROR(VLOOKUP($B25,'RA10-Codisposal Slopes'!$A$11:$BN$18,MATCH(Summary!P$1,'RA10-Codisposal Slopes'!$A$9:$BN$9,1),FALSE),0)+IFERROR(VLOOKUP($B25,'IA1-Final Void inc Ramps'!$A$11:$BN$18,MATCH(Summary!P$1,'IA1-Final Void inc Ramps'!$A$9:$BN$9,1),FALSE),0)</f>
        <v>0</v>
      </c>
      <c r="Q25" s="47">
        <f>IFERROR(VLOOKUP($B25,'RA1- Elevated Dumps Upper'!$A$11:$BN$18,MATCH(Summary!Q$1,'RA1- Elevated Dumps Upper'!$A$9:$BN$9,1),FALSE),0)+IFERROR(VLOOKUP($B25,'RA2-Elevated Dumps Slopes'!$A$11:$BN$18,MATCH(Summary!Q$1,'RA2-Elevated Dumps Slopes'!$A$9:$BN$9,1),FALSE),0)+IFERROR(VLOOKUP($B25,'RA3-Backfilled Pits'!$A$11:$BN$18,MATCH(Summary!Q$1,'RA3-Backfilled Pits'!$A$9:$BN$9,1),FALSE),0)+IFERROR(VLOOKUP($B25,'RA4-Tracks_Roads'!$A$11:$BN$18,MATCH(Summary!Q$1,'RA4-Tracks_Roads'!$A$9:$BN$9,1),FALSE),0)+IFERROR(VLOOKUP($B25,'RA5-ROM'!$A$11:$BN$18,MATCH(Summary!Q$1,'RA5-ROM'!$A$9:$BN$9,1),FALSE),0)+IFERROR(VLOOKUP($B25,'RA6-CHPP'!$A$11:$BN$18,MATCH(Summary!Q$1,'RA6-CHPP'!$A$9:$BN$9,1),FALSE),0)+IFERROR(VLOOKUP($B25,'RA7-Mine Infrastructure Area'!$A$11:$BN$18,MATCH(Summary!Q$1,'RA7-Mine Infrastructure Area'!$A$9:$BN$9,1),FALSE),0)+IFERROR(VLOOKUP($B25,'RA8-Water Management Structures'!$A$11:$BN$18,MATCH(Summary!Q$1,'RA8-Water Management Structures'!$A$9:$BN$9,1),FALSE),0)+IFERROR(VLOOKUP($B25,'RA9-Codisposal Upper'!$A$11:$BN$18,MATCH(Summary!Q$1,'RA9-Codisposal Upper'!$A$9:$BN$9,1),FALSE),0)+IFERROR(VLOOKUP($B25,'RA10-Codisposal Slopes'!$A$11:$BN$18,MATCH(Summary!Q$1,'RA10-Codisposal Slopes'!$A$9:$BN$9,1),FALSE),0)+IFERROR(VLOOKUP($B25,'IA1-Final Void inc Ramps'!$A$11:$BN$18,MATCH(Summary!Q$1,'IA1-Final Void inc Ramps'!$A$9:$BN$9,1),FALSE),0)</f>
        <v>0</v>
      </c>
      <c r="R25" s="47">
        <f>IFERROR(VLOOKUP($B25,'RA1- Elevated Dumps Upper'!$A$11:$BN$18,MATCH(Summary!R$1,'RA1- Elevated Dumps Upper'!$A$9:$BN$9,1),FALSE),0)+IFERROR(VLOOKUP($B25,'RA2-Elevated Dumps Slopes'!$A$11:$BN$18,MATCH(Summary!R$1,'RA2-Elevated Dumps Slopes'!$A$9:$BN$9,1),FALSE),0)+IFERROR(VLOOKUP($B25,'RA3-Backfilled Pits'!$A$11:$BN$18,MATCH(Summary!R$1,'RA3-Backfilled Pits'!$A$9:$BN$9,1),FALSE),0)+IFERROR(VLOOKUP($B25,'RA4-Tracks_Roads'!$A$11:$BN$18,MATCH(Summary!R$1,'RA4-Tracks_Roads'!$A$9:$BN$9,1),FALSE),0)+IFERROR(VLOOKUP($B25,'RA5-ROM'!$A$11:$BN$18,MATCH(Summary!R$1,'RA5-ROM'!$A$9:$BN$9,1),FALSE),0)+IFERROR(VLOOKUP($B25,'RA6-CHPP'!$A$11:$BN$18,MATCH(Summary!R$1,'RA6-CHPP'!$A$9:$BN$9,1),FALSE),0)+IFERROR(VLOOKUP($B25,'RA7-Mine Infrastructure Area'!$A$11:$BN$18,MATCH(Summary!R$1,'RA7-Mine Infrastructure Area'!$A$9:$BN$9,1),FALSE),0)+IFERROR(VLOOKUP($B25,'RA8-Water Management Structures'!$A$11:$BN$18,MATCH(Summary!R$1,'RA8-Water Management Structures'!$A$9:$BN$9,1),FALSE),0)+IFERROR(VLOOKUP($B25,'RA9-Codisposal Upper'!$A$11:$BN$18,MATCH(Summary!R$1,'RA9-Codisposal Upper'!$A$9:$BN$9,1),FALSE),0)+IFERROR(VLOOKUP($B25,'RA10-Codisposal Slopes'!$A$11:$BN$18,MATCH(Summary!R$1,'RA10-Codisposal Slopes'!$A$9:$BN$9,1),FALSE),0)+IFERROR(VLOOKUP($B25,'IA1-Final Void inc Ramps'!$A$11:$BN$18,MATCH(Summary!R$1,'IA1-Final Void inc Ramps'!$A$9:$BN$9,1),FALSE),0)</f>
        <v>0</v>
      </c>
      <c r="S25" s="47">
        <f>IFERROR(VLOOKUP($B25,'RA1- Elevated Dumps Upper'!$A$11:$BN$18,MATCH(Summary!S$1,'RA1- Elevated Dumps Upper'!$A$9:$BN$9,1),FALSE),0)+IFERROR(VLOOKUP($B25,'RA2-Elevated Dumps Slopes'!$A$11:$BN$18,MATCH(Summary!S$1,'RA2-Elevated Dumps Slopes'!$A$9:$BN$9,1),FALSE),0)+IFERROR(VLOOKUP($B25,'RA3-Backfilled Pits'!$A$11:$BN$18,MATCH(Summary!S$1,'RA3-Backfilled Pits'!$A$9:$BN$9,1),FALSE),0)+IFERROR(VLOOKUP($B25,'RA4-Tracks_Roads'!$A$11:$BN$18,MATCH(Summary!S$1,'RA4-Tracks_Roads'!$A$9:$BN$9,1),FALSE),0)+IFERROR(VLOOKUP($B25,'RA5-ROM'!$A$11:$BN$18,MATCH(Summary!S$1,'RA5-ROM'!$A$9:$BN$9,1),FALSE),0)+IFERROR(VLOOKUP($B25,'RA6-CHPP'!$A$11:$BN$18,MATCH(Summary!S$1,'RA6-CHPP'!$A$9:$BN$9,1),FALSE),0)+IFERROR(VLOOKUP($B25,'RA7-Mine Infrastructure Area'!$A$11:$BN$18,MATCH(Summary!S$1,'RA7-Mine Infrastructure Area'!$A$9:$BN$9,1),FALSE),0)+IFERROR(VLOOKUP($B25,'RA8-Water Management Structures'!$A$11:$BN$18,MATCH(Summary!S$1,'RA8-Water Management Structures'!$A$9:$BN$9,1),FALSE),0)+IFERROR(VLOOKUP($B25,'RA9-Codisposal Upper'!$A$11:$BN$18,MATCH(Summary!S$1,'RA9-Codisposal Upper'!$A$9:$BN$9,1),FALSE),0)+IFERROR(VLOOKUP($B25,'RA10-Codisposal Slopes'!$A$11:$BN$18,MATCH(Summary!S$1,'RA10-Codisposal Slopes'!$A$9:$BN$9,1),FALSE),0)+IFERROR(VLOOKUP($B25,'IA1-Final Void inc Ramps'!$A$11:$BN$18,MATCH(Summary!S$1,'IA1-Final Void inc Ramps'!$A$9:$BN$9,1),FALSE),0)</f>
        <v>0</v>
      </c>
      <c r="T25" s="47">
        <f>IFERROR(VLOOKUP($B25,'RA1- Elevated Dumps Upper'!$A$11:$BN$18,MATCH(Summary!T$1,'RA1- Elevated Dumps Upper'!$A$9:$BN$9,1),FALSE),0)+IFERROR(VLOOKUP($B25,'RA2-Elevated Dumps Slopes'!$A$11:$BN$18,MATCH(Summary!T$1,'RA2-Elevated Dumps Slopes'!$A$9:$BN$9,1),FALSE),0)+IFERROR(VLOOKUP($B25,'RA3-Backfilled Pits'!$A$11:$BN$18,MATCH(Summary!T$1,'RA3-Backfilled Pits'!$A$9:$BN$9,1),FALSE),0)+IFERROR(VLOOKUP($B25,'RA4-Tracks_Roads'!$A$11:$BN$18,MATCH(Summary!T$1,'RA4-Tracks_Roads'!$A$9:$BN$9,1),FALSE),0)+IFERROR(VLOOKUP($B25,'RA5-ROM'!$A$11:$BN$18,MATCH(Summary!T$1,'RA5-ROM'!$A$9:$BN$9,1),FALSE),0)+IFERROR(VLOOKUP($B25,'RA6-CHPP'!$A$11:$BN$18,MATCH(Summary!T$1,'RA6-CHPP'!$A$9:$BN$9,1),FALSE),0)+IFERROR(VLOOKUP($B25,'RA7-Mine Infrastructure Area'!$A$11:$BN$18,MATCH(Summary!T$1,'RA7-Mine Infrastructure Area'!$A$9:$BN$9,1),FALSE),0)+IFERROR(VLOOKUP($B25,'RA8-Water Management Structures'!$A$11:$BN$18,MATCH(Summary!T$1,'RA8-Water Management Structures'!$A$9:$BN$9,1),FALSE),0)+IFERROR(VLOOKUP($B25,'RA9-Codisposal Upper'!$A$11:$BN$18,MATCH(Summary!T$1,'RA9-Codisposal Upper'!$A$9:$BN$9,1),FALSE),0)+IFERROR(VLOOKUP($B25,'RA10-Codisposal Slopes'!$A$11:$BN$18,MATCH(Summary!T$1,'RA10-Codisposal Slopes'!$A$9:$BN$9,1),FALSE),0)+IFERROR(VLOOKUP($B25,'IA1-Final Void inc Ramps'!$A$11:$BN$18,MATCH(Summary!T$1,'IA1-Final Void inc Ramps'!$A$9:$BN$9,1),FALSE),0)</f>
        <v>0</v>
      </c>
      <c r="U25" s="47">
        <f>IFERROR(VLOOKUP($B25,'RA1- Elevated Dumps Upper'!$A$11:$BN$18,MATCH(Summary!U$1,'RA1- Elevated Dumps Upper'!$A$9:$BN$9,1),FALSE),0)+IFERROR(VLOOKUP($B25,'RA2-Elevated Dumps Slopes'!$A$11:$BN$18,MATCH(Summary!U$1,'RA2-Elevated Dumps Slopes'!$A$9:$BN$9,1),FALSE),0)+IFERROR(VLOOKUP($B25,'RA3-Backfilled Pits'!$A$11:$BN$18,MATCH(Summary!U$1,'RA3-Backfilled Pits'!$A$9:$BN$9,1),FALSE),0)+IFERROR(VLOOKUP($B25,'RA4-Tracks_Roads'!$A$11:$BN$18,MATCH(Summary!U$1,'RA4-Tracks_Roads'!$A$9:$BN$9,1),FALSE),0)+IFERROR(VLOOKUP($B25,'RA5-ROM'!$A$11:$BN$18,MATCH(Summary!U$1,'RA5-ROM'!$A$9:$BN$9,1),FALSE),0)+IFERROR(VLOOKUP($B25,'RA6-CHPP'!$A$11:$BN$18,MATCH(Summary!U$1,'RA6-CHPP'!$A$9:$BN$9,1),FALSE),0)+IFERROR(VLOOKUP($B25,'RA7-Mine Infrastructure Area'!$A$11:$BN$18,MATCH(Summary!U$1,'RA7-Mine Infrastructure Area'!$A$9:$BN$9,1),FALSE),0)+IFERROR(VLOOKUP($B25,'RA8-Water Management Structures'!$A$11:$BN$18,MATCH(Summary!U$1,'RA8-Water Management Structures'!$A$9:$BN$9,1),FALSE),0)+IFERROR(VLOOKUP($B25,'RA9-Codisposal Upper'!$A$11:$BN$18,MATCH(Summary!U$1,'RA9-Codisposal Upper'!$A$9:$BN$9,1),FALSE),0)+IFERROR(VLOOKUP($B25,'RA10-Codisposal Slopes'!$A$11:$BN$18,MATCH(Summary!U$1,'RA10-Codisposal Slopes'!$A$9:$BN$9,1),FALSE),0)+IFERROR(VLOOKUP($B25,'IA1-Final Void inc Ramps'!$A$11:$BN$18,MATCH(Summary!U$1,'IA1-Final Void inc Ramps'!$A$9:$BN$9,1),FALSE),0)</f>
        <v>0</v>
      </c>
      <c r="V25" s="47">
        <f>IFERROR(VLOOKUP($B25,'RA1- Elevated Dumps Upper'!$A$11:$BN$18,MATCH(Summary!V$1,'RA1- Elevated Dumps Upper'!$A$9:$BN$9,1),FALSE),0)+IFERROR(VLOOKUP($B25,'RA2-Elevated Dumps Slopes'!$A$11:$BN$18,MATCH(Summary!V$1,'RA2-Elevated Dumps Slopes'!$A$9:$BN$9,1),FALSE),0)+IFERROR(VLOOKUP($B25,'RA3-Backfilled Pits'!$A$11:$BN$18,MATCH(Summary!V$1,'RA3-Backfilled Pits'!$A$9:$BN$9,1),FALSE),0)+IFERROR(VLOOKUP($B25,'RA4-Tracks_Roads'!$A$11:$BN$18,MATCH(Summary!V$1,'RA4-Tracks_Roads'!$A$9:$BN$9,1),FALSE),0)+IFERROR(VLOOKUP($B25,'RA5-ROM'!$A$11:$BN$18,MATCH(Summary!V$1,'RA5-ROM'!$A$9:$BN$9,1),FALSE),0)+IFERROR(VLOOKUP($B25,'RA6-CHPP'!$A$11:$BN$18,MATCH(Summary!V$1,'RA6-CHPP'!$A$9:$BN$9,1),FALSE),0)+IFERROR(VLOOKUP($B25,'RA7-Mine Infrastructure Area'!$A$11:$BN$18,MATCH(Summary!V$1,'RA7-Mine Infrastructure Area'!$A$9:$BN$9,1),FALSE),0)+IFERROR(VLOOKUP($B25,'RA8-Water Management Structures'!$A$11:$BN$18,MATCH(Summary!V$1,'RA8-Water Management Structures'!$A$9:$BN$9,1),FALSE),0)+IFERROR(VLOOKUP($B25,'RA9-Codisposal Upper'!$A$11:$BN$18,MATCH(Summary!V$1,'RA9-Codisposal Upper'!$A$9:$BN$9,1),FALSE),0)+IFERROR(VLOOKUP($B25,'RA10-Codisposal Slopes'!$A$11:$BN$18,MATCH(Summary!V$1,'RA10-Codisposal Slopes'!$A$9:$BN$9,1),FALSE),0)+IFERROR(VLOOKUP($B25,'IA1-Final Void inc Ramps'!$A$11:$BN$18,MATCH(Summary!V$1,'IA1-Final Void inc Ramps'!$A$9:$BN$9,1),FALSE),0)</f>
        <v>0</v>
      </c>
      <c r="W25" s="47">
        <f>IFERROR(VLOOKUP($B25,'RA1- Elevated Dumps Upper'!$A$11:$BN$18,MATCH(Summary!W$1,'RA1- Elevated Dumps Upper'!$A$9:$BN$9,1),FALSE),0)+IFERROR(VLOOKUP($B25,'RA2-Elevated Dumps Slopes'!$A$11:$BN$18,MATCH(Summary!W$1,'RA2-Elevated Dumps Slopes'!$A$9:$BN$9,1),FALSE),0)+IFERROR(VLOOKUP($B25,'RA3-Backfilled Pits'!$A$11:$BN$18,MATCH(Summary!W$1,'RA3-Backfilled Pits'!$A$9:$BN$9,1),FALSE),0)+IFERROR(VLOOKUP($B25,'RA4-Tracks_Roads'!$A$11:$BN$18,MATCH(Summary!W$1,'RA4-Tracks_Roads'!$A$9:$BN$9,1),FALSE),0)+IFERROR(VLOOKUP($B25,'RA5-ROM'!$A$11:$BN$18,MATCH(Summary!W$1,'RA5-ROM'!$A$9:$BN$9,1),FALSE),0)+IFERROR(VLOOKUP($B25,'RA6-CHPP'!$A$11:$BN$18,MATCH(Summary!W$1,'RA6-CHPP'!$A$9:$BN$9,1),FALSE),0)+IFERROR(VLOOKUP($B25,'RA7-Mine Infrastructure Area'!$A$11:$BN$18,MATCH(Summary!W$1,'RA7-Mine Infrastructure Area'!$A$9:$BN$9,1),FALSE),0)+IFERROR(VLOOKUP($B25,'RA8-Water Management Structures'!$A$11:$BN$18,MATCH(Summary!W$1,'RA8-Water Management Structures'!$A$9:$BN$9,1),FALSE),0)+IFERROR(VLOOKUP($B25,'RA9-Codisposal Upper'!$A$11:$BN$18,MATCH(Summary!W$1,'RA9-Codisposal Upper'!$A$9:$BN$9,1),FALSE),0)+IFERROR(VLOOKUP($B25,'RA10-Codisposal Slopes'!$A$11:$BN$18,MATCH(Summary!W$1,'RA10-Codisposal Slopes'!$A$9:$BN$9,1),FALSE),0)+IFERROR(VLOOKUP($B25,'IA1-Final Void inc Ramps'!$A$11:$BN$18,MATCH(Summary!W$1,'IA1-Final Void inc Ramps'!$A$9:$BN$9,1),FALSE),0)</f>
        <v>0</v>
      </c>
      <c r="X25" s="47">
        <f>IFERROR(VLOOKUP($B25,'RA1- Elevated Dumps Upper'!$A$11:$BN$18,MATCH(Summary!X$1,'RA1- Elevated Dumps Upper'!$A$9:$BN$9,1),FALSE),0)+IFERROR(VLOOKUP($B25,'RA2-Elevated Dumps Slopes'!$A$11:$BN$18,MATCH(Summary!X$1,'RA2-Elevated Dumps Slopes'!$A$9:$BN$9,1),FALSE),0)+IFERROR(VLOOKUP($B25,'RA3-Backfilled Pits'!$A$11:$BN$18,MATCH(Summary!X$1,'RA3-Backfilled Pits'!$A$9:$BN$9,1),FALSE),0)+IFERROR(VLOOKUP($B25,'RA4-Tracks_Roads'!$A$11:$BN$18,MATCH(Summary!X$1,'RA4-Tracks_Roads'!$A$9:$BN$9,1),FALSE),0)+IFERROR(VLOOKUP($B25,'RA5-ROM'!$A$11:$BN$18,MATCH(Summary!X$1,'RA5-ROM'!$A$9:$BN$9,1),FALSE),0)+IFERROR(VLOOKUP($B25,'RA6-CHPP'!$A$11:$BN$18,MATCH(Summary!X$1,'RA6-CHPP'!$A$9:$BN$9,1),FALSE),0)+IFERROR(VLOOKUP($B25,'RA7-Mine Infrastructure Area'!$A$11:$BN$18,MATCH(Summary!X$1,'RA7-Mine Infrastructure Area'!$A$9:$BN$9,1),FALSE),0)+IFERROR(VLOOKUP($B25,'RA8-Water Management Structures'!$A$11:$BN$18,MATCH(Summary!X$1,'RA8-Water Management Structures'!$A$9:$BN$9,1),FALSE),0)+IFERROR(VLOOKUP($B25,'RA9-Codisposal Upper'!$A$11:$BN$18,MATCH(Summary!X$1,'RA9-Codisposal Upper'!$A$9:$BN$9,1),FALSE),0)+IFERROR(VLOOKUP($B25,'RA10-Codisposal Slopes'!$A$11:$BN$18,MATCH(Summary!X$1,'RA10-Codisposal Slopes'!$A$9:$BN$9,1),FALSE),0)+IFERROR(VLOOKUP($B25,'IA1-Final Void inc Ramps'!$A$11:$BN$18,MATCH(Summary!X$1,'IA1-Final Void inc Ramps'!$A$9:$BN$9,1),FALSE),0)</f>
        <v>0</v>
      </c>
      <c r="Y25" s="47">
        <f>IFERROR(VLOOKUP($B25,'RA1- Elevated Dumps Upper'!$A$11:$BN$18,MATCH(Summary!Y$1,'RA1- Elevated Dumps Upper'!$A$9:$BN$9,1),FALSE),0)+IFERROR(VLOOKUP($B25,'RA2-Elevated Dumps Slopes'!$A$11:$BN$18,MATCH(Summary!Y$1,'RA2-Elevated Dumps Slopes'!$A$9:$BN$9,1),FALSE),0)+IFERROR(VLOOKUP($B25,'RA3-Backfilled Pits'!$A$11:$BN$18,MATCH(Summary!Y$1,'RA3-Backfilled Pits'!$A$9:$BN$9,1),FALSE),0)+IFERROR(VLOOKUP($B25,'RA4-Tracks_Roads'!$A$11:$BN$18,MATCH(Summary!Y$1,'RA4-Tracks_Roads'!$A$9:$BN$9,1),FALSE),0)+IFERROR(VLOOKUP($B25,'RA5-ROM'!$A$11:$BN$18,MATCH(Summary!Y$1,'RA5-ROM'!$A$9:$BN$9,1),FALSE),0)+IFERROR(VLOOKUP($B25,'RA6-CHPP'!$A$11:$BN$18,MATCH(Summary!Y$1,'RA6-CHPP'!$A$9:$BN$9,1),FALSE),0)+IFERROR(VLOOKUP($B25,'RA7-Mine Infrastructure Area'!$A$11:$BN$18,MATCH(Summary!Y$1,'RA7-Mine Infrastructure Area'!$A$9:$BN$9,1),FALSE),0)+IFERROR(VLOOKUP($B25,'RA8-Water Management Structures'!$A$11:$BN$18,MATCH(Summary!Y$1,'RA8-Water Management Structures'!$A$9:$BN$9,1),FALSE),0)+IFERROR(VLOOKUP($B25,'RA9-Codisposal Upper'!$A$11:$BN$18,MATCH(Summary!Y$1,'RA9-Codisposal Upper'!$A$9:$BN$9,1),FALSE),0)+IFERROR(VLOOKUP($B25,'RA10-Codisposal Slopes'!$A$11:$BN$18,MATCH(Summary!Y$1,'RA10-Codisposal Slopes'!$A$9:$BN$9,1),FALSE),0)+IFERROR(VLOOKUP($B25,'IA1-Final Void inc Ramps'!$A$11:$BN$18,MATCH(Summary!Y$1,'IA1-Final Void inc Ramps'!$A$9:$BN$9,1),FALSE),0)</f>
        <v>0</v>
      </c>
      <c r="Z25" s="47">
        <f>IFERROR(VLOOKUP($B25,'RA1- Elevated Dumps Upper'!$A$11:$BN$18,MATCH(Summary!Z$1,'RA1- Elevated Dumps Upper'!$A$9:$BN$9,1),FALSE),0)+IFERROR(VLOOKUP($B25,'RA2-Elevated Dumps Slopes'!$A$11:$BN$18,MATCH(Summary!Z$1,'RA2-Elevated Dumps Slopes'!$A$9:$BN$9,1),FALSE),0)+IFERROR(VLOOKUP($B25,'RA3-Backfilled Pits'!$A$11:$BN$18,MATCH(Summary!Z$1,'RA3-Backfilled Pits'!$A$9:$BN$9,1),FALSE),0)+IFERROR(VLOOKUP($B25,'RA4-Tracks_Roads'!$A$11:$BN$18,MATCH(Summary!Z$1,'RA4-Tracks_Roads'!$A$9:$BN$9,1),FALSE),0)+IFERROR(VLOOKUP($B25,'RA5-ROM'!$A$11:$BN$18,MATCH(Summary!Z$1,'RA5-ROM'!$A$9:$BN$9,1),FALSE),0)+IFERROR(VLOOKUP($B25,'RA6-CHPP'!$A$11:$BN$18,MATCH(Summary!Z$1,'RA6-CHPP'!$A$9:$BN$9,1),FALSE),0)+IFERROR(VLOOKUP($B25,'RA7-Mine Infrastructure Area'!$A$11:$BN$18,MATCH(Summary!Z$1,'RA7-Mine Infrastructure Area'!$A$9:$BN$9,1),FALSE),0)+IFERROR(VLOOKUP($B25,'RA8-Water Management Structures'!$A$11:$BN$18,MATCH(Summary!Z$1,'RA8-Water Management Structures'!$A$9:$BN$9,1),FALSE),0)+IFERROR(VLOOKUP($B25,'RA9-Codisposal Upper'!$A$11:$BN$18,MATCH(Summary!Z$1,'RA9-Codisposal Upper'!$A$9:$BN$9,1),FALSE),0)+IFERROR(VLOOKUP($B25,'RA10-Codisposal Slopes'!$A$11:$BN$18,MATCH(Summary!Z$1,'RA10-Codisposal Slopes'!$A$9:$BN$9,1),FALSE),0)+IFERROR(VLOOKUP($B25,'IA1-Final Void inc Ramps'!$A$11:$BN$18,MATCH(Summary!Z$1,'IA1-Final Void inc Ramps'!$A$9:$BN$9,1),FALSE),0)</f>
        <v>0</v>
      </c>
      <c r="AA25" s="47">
        <f>IFERROR(VLOOKUP($B25,'RA1- Elevated Dumps Upper'!$A$11:$BN$18,MATCH(Summary!AA$1,'RA1- Elevated Dumps Upper'!$A$9:$BN$9,1),FALSE),0)+IFERROR(VLOOKUP($B25,'RA2-Elevated Dumps Slopes'!$A$11:$BN$18,MATCH(Summary!AA$1,'RA2-Elevated Dumps Slopes'!$A$9:$BN$9,1),FALSE),0)+IFERROR(VLOOKUP($B25,'RA3-Backfilled Pits'!$A$11:$BN$18,MATCH(Summary!AA$1,'RA3-Backfilled Pits'!$A$9:$BN$9,1),FALSE),0)+IFERROR(VLOOKUP($B25,'RA4-Tracks_Roads'!$A$11:$BN$18,MATCH(Summary!AA$1,'RA4-Tracks_Roads'!$A$9:$BN$9,1),FALSE),0)+IFERROR(VLOOKUP($B25,'RA5-ROM'!$A$11:$BN$18,MATCH(Summary!AA$1,'RA5-ROM'!$A$9:$BN$9,1),FALSE),0)+IFERROR(VLOOKUP($B25,'RA6-CHPP'!$A$11:$BN$18,MATCH(Summary!AA$1,'RA6-CHPP'!$A$9:$BN$9,1),FALSE),0)+IFERROR(VLOOKUP($B25,'RA7-Mine Infrastructure Area'!$A$11:$BN$18,MATCH(Summary!AA$1,'RA7-Mine Infrastructure Area'!$A$9:$BN$9,1),FALSE),0)+IFERROR(VLOOKUP($B25,'RA8-Water Management Structures'!$A$11:$BN$18,MATCH(Summary!AA$1,'RA8-Water Management Structures'!$A$9:$BN$9,1),FALSE),0)+IFERROR(VLOOKUP($B25,'RA9-Codisposal Upper'!$A$11:$BN$18,MATCH(Summary!AA$1,'RA9-Codisposal Upper'!$A$9:$BN$9,1),FALSE),0)+IFERROR(VLOOKUP($B25,'RA10-Codisposal Slopes'!$A$11:$BN$18,MATCH(Summary!AA$1,'RA10-Codisposal Slopes'!$A$9:$BN$9,1),FALSE),0)+IFERROR(VLOOKUP($B25,'IA1-Final Void inc Ramps'!$A$11:$BN$18,MATCH(Summary!AA$1,'IA1-Final Void inc Ramps'!$A$9:$BN$9,1),FALSE),0)</f>
        <v>0</v>
      </c>
      <c r="AB25" s="47">
        <f>IFERROR(VLOOKUP($B25,'RA1- Elevated Dumps Upper'!$A$11:$BN$18,MATCH(Summary!AB$1,'RA1- Elevated Dumps Upper'!$A$9:$BN$9,1),FALSE),0)+IFERROR(VLOOKUP($B25,'RA2-Elevated Dumps Slopes'!$A$11:$BN$18,MATCH(Summary!AB$1,'RA2-Elevated Dumps Slopes'!$A$9:$BN$9,1),FALSE),0)+IFERROR(VLOOKUP($B25,'RA3-Backfilled Pits'!$A$11:$BN$18,MATCH(Summary!AB$1,'RA3-Backfilled Pits'!$A$9:$BN$9,1),FALSE),0)+IFERROR(VLOOKUP($B25,'RA4-Tracks_Roads'!$A$11:$BN$18,MATCH(Summary!AB$1,'RA4-Tracks_Roads'!$A$9:$BN$9,1),FALSE),0)+IFERROR(VLOOKUP($B25,'RA5-ROM'!$A$11:$BN$18,MATCH(Summary!AB$1,'RA5-ROM'!$A$9:$BN$9,1),FALSE),0)+IFERROR(VLOOKUP($B25,'RA6-CHPP'!$A$11:$BN$18,MATCH(Summary!AB$1,'RA6-CHPP'!$A$9:$BN$9,1),FALSE),0)+IFERROR(VLOOKUP($B25,'RA7-Mine Infrastructure Area'!$A$11:$BN$18,MATCH(Summary!AB$1,'RA7-Mine Infrastructure Area'!$A$9:$BN$9,1),FALSE),0)+IFERROR(VLOOKUP($B25,'RA8-Water Management Structures'!$A$11:$BN$18,MATCH(Summary!AB$1,'RA8-Water Management Structures'!$A$9:$BN$9,1),FALSE),0)+IFERROR(VLOOKUP($B25,'RA9-Codisposal Upper'!$A$11:$BN$18,MATCH(Summary!AB$1,'RA9-Codisposal Upper'!$A$9:$BN$9,1),FALSE),0)+IFERROR(VLOOKUP($B25,'RA10-Codisposal Slopes'!$A$11:$BN$18,MATCH(Summary!AB$1,'RA10-Codisposal Slopes'!$A$9:$BN$9,1),FALSE),0)+IFERROR(VLOOKUP($B25,'IA1-Final Void inc Ramps'!$A$11:$BN$18,MATCH(Summary!AB$1,'IA1-Final Void inc Ramps'!$A$9:$BN$9,1),FALSE),0)</f>
        <v>0</v>
      </c>
      <c r="AC25" s="47">
        <f>IFERROR(VLOOKUP($B25,'RA1- Elevated Dumps Upper'!$A$11:$BN$18,MATCH(Summary!AC$1,'RA1- Elevated Dumps Upper'!$A$9:$BN$9,1),FALSE),0)+IFERROR(VLOOKUP($B25,'RA2-Elevated Dumps Slopes'!$A$11:$BN$18,MATCH(Summary!AC$1,'RA2-Elevated Dumps Slopes'!$A$9:$BN$9,1),FALSE),0)+IFERROR(VLOOKUP($B25,'RA3-Backfilled Pits'!$A$11:$BN$18,MATCH(Summary!AC$1,'RA3-Backfilled Pits'!$A$9:$BN$9,1),FALSE),0)+IFERROR(VLOOKUP($B25,'RA4-Tracks_Roads'!$A$11:$BN$18,MATCH(Summary!AC$1,'RA4-Tracks_Roads'!$A$9:$BN$9,1),FALSE),0)+IFERROR(VLOOKUP($B25,'RA5-ROM'!$A$11:$BN$18,MATCH(Summary!AC$1,'RA5-ROM'!$A$9:$BN$9,1),FALSE),0)+IFERROR(VLOOKUP($B25,'RA6-CHPP'!$A$11:$BN$18,MATCH(Summary!AC$1,'RA6-CHPP'!$A$9:$BN$9,1),FALSE),0)+IFERROR(VLOOKUP($B25,'RA7-Mine Infrastructure Area'!$A$11:$BN$18,MATCH(Summary!AC$1,'RA7-Mine Infrastructure Area'!$A$9:$BN$9,1),FALSE),0)+IFERROR(VLOOKUP($B25,'RA8-Water Management Structures'!$A$11:$BN$18,MATCH(Summary!AC$1,'RA8-Water Management Structures'!$A$9:$BN$9,1),FALSE),0)+IFERROR(VLOOKUP($B25,'RA9-Codisposal Upper'!$A$11:$BN$18,MATCH(Summary!AC$1,'RA9-Codisposal Upper'!$A$9:$BN$9,1),FALSE),0)+IFERROR(VLOOKUP($B25,'RA10-Codisposal Slopes'!$A$11:$BN$18,MATCH(Summary!AC$1,'RA10-Codisposal Slopes'!$A$9:$BN$9,1),FALSE),0)+IFERROR(VLOOKUP($B25,'IA1-Final Void inc Ramps'!$A$11:$BN$18,MATCH(Summary!AC$1,'IA1-Final Void inc Ramps'!$A$9:$BN$9,1),FALSE),0)</f>
        <v>0</v>
      </c>
      <c r="AD25" s="47">
        <f>IFERROR(VLOOKUP($B25,'RA1- Elevated Dumps Upper'!$A$11:$BN$18,MATCH(Summary!AD$1,'RA1- Elevated Dumps Upper'!$A$9:$BN$9,1),FALSE),0)+IFERROR(VLOOKUP($B25,'RA2-Elevated Dumps Slopes'!$A$11:$BN$18,MATCH(Summary!AD$1,'RA2-Elevated Dumps Slopes'!$A$9:$BN$9,1),FALSE),0)+IFERROR(VLOOKUP($B25,'RA3-Backfilled Pits'!$A$11:$BN$18,MATCH(Summary!AD$1,'RA3-Backfilled Pits'!$A$9:$BN$9,1),FALSE),0)+IFERROR(VLOOKUP($B25,'RA4-Tracks_Roads'!$A$11:$BN$18,MATCH(Summary!AD$1,'RA4-Tracks_Roads'!$A$9:$BN$9,1),FALSE),0)+IFERROR(VLOOKUP($B25,'RA5-ROM'!$A$11:$BN$18,MATCH(Summary!AD$1,'RA5-ROM'!$A$9:$BN$9,1),FALSE),0)+IFERROR(VLOOKUP($B25,'RA6-CHPP'!$A$11:$BN$18,MATCH(Summary!AD$1,'RA6-CHPP'!$A$9:$BN$9,1),FALSE),0)+IFERROR(VLOOKUP($B25,'RA7-Mine Infrastructure Area'!$A$11:$BN$18,MATCH(Summary!AD$1,'RA7-Mine Infrastructure Area'!$A$9:$BN$9,1),FALSE),0)+IFERROR(VLOOKUP($B25,'RA8-Water Management Structures'!$A$11:$BN$18,MATCH(Summary!AD$1,'RA8-Water Management Structures'!$A$9:$BN$9,1),FALSE),0)+IFERROR(VLOOKUP($B25,'RA9-Codisposal Upper'!$A$11:$BN$18,MATCH(Summary!AD$1,'RA9-Codisposal Upper'!$A$9:$BN$9,1),FALSE),0)+IFERROR(VLOOKUP($B25,'RA10-Codisposal Slopes'!$A$11:$BN$18,MATCH(Summary!AD$1,'RA10-Codisposal Slopes'!$A$9:$BN$9,1),FALSE),0)+IFERROR(VLOOKUP($B25,'IA1-Final Void inc Ramps'!$A$11:$BN$18,MATCH(Summary!AD$1,'IA1-Final Void inc Ramps'!$A$9:$BN$9,1),FALSE),0)</f>
        <v>0</v>
      </c>
      <c r="AE25" s="47">
        <f>IFERROR(VLOOKUP($B25,'RA1- Elevated Dumps Upper'!$A$11:$BN$18,MATCH(Summary!AE$1,'RA1- Elevated Dumps Upper'!$A$9:$BN$9,1),FALSE),0)+IFERROR(VLOOKUP($B25,'RA2-Elevated Dumps Slopes'!$A$11:$BN$18,MATCH(Summary!AE$1,'RA2-Elevated Dumps Slopes'!$A$9:$BN$9,1),FALSE),0)+IFERROR(VLOOKUP($B25,'RA3-Backfilled Pits'!$A$11:$BN$18,MATCH(Summary!AE$1,'RA3-Backfilled Pits'!$A$9:$BN$9,1),FALSE),0)+IFERROR(VLOOKUP($B25,'RA4-Tracks_Roads'!$A$11:$BN$18,MATCH(Summary!AE$1,'RA4-Tracks_Roads'!$A$9:$BN$9,1),FALSE),0)+IFERROR(VLOOKUP($B25,'RA5-ROM'!$A$11:$BN$18,MATCH(Summary!AE$1,'RA5-ROM'!$A$9:$BN$9,1),FALSE),0)+IFERROR(VLOOKUP($B25,'RA6-CHPP'!$A$11:$BN$18,MATCH(Summary!AE$1,'RA6-CHPP'!$A$9:$BN$9,1),FALSE),0)+IFERROR(VLOOKUP($B25,'RA7-Mine Infrastructure Area'!$A$11:$BN$18,MATCH(Summary!AE$1,'RA7-Mine Infrastructure Area'!$A$9:$BN$9,1),FALSE),0)+IFERROR(VLOOKUP($B25,'RA8-Water Management Structures'!$A$11:$BN$18,MATCH(Summary!AE$1,'RA8-Water Management Structures'!$A$9:$BN$9,1),FALSE),0)+IFERROR(VLOOKUP($B25,'RA9-Codisposal Upper'!$A$11:$BN$18,MATCH(Summary!AE$1,'RA9-Codisposal Upper'!$A$9:$BN$9,1),FALSE),0)+IFERROR(VLOOKUP($B25,'RA10-Codisposal Slopes'!$A$11:$BN$18,MATCH(Summary!AE$1,'RA10-Codisposal Slopes'!$A$9:$BN$9,1),FALSE),0)+IFERROR(VLOOKUP($B25,'IA1-Final Void inc Ramps'!$A$11:$BN$18,MATCH(Summary!AE$1,'IA1-Final Void inc Ramps'!$A$9:$BN$9,1),FALSE),0)</f>
        <v>0</v>
      </c>
      <c r="AF25" s="47">
        <f>IFERROR(VLOOKUP($B25,'RA1- Elevated Dumps Upper'!$A$11:$BN$18,MATCH(Summary!AF$1,'RA1- Elevated Dumps Upper'!$A$9:$BN$9,1),FALSE),0)+IFERROR(VLOOKUP($B25,'RA2-Elevated Dumps Slopes'!$A$11:$BN$18,MATCH(Summary!AF$1,'RA2-Elevated Dumps Slopes'!$A$9:$BN$9,1),FALSE),0)+IFERROR(VLOOKUP($B25,'RA3-Backfilled Pits'!$A$11:$BN$18,MATCH(Summary!AF$1,'RA3-Backfilled Pits'!$A$9:$BN$9,1),FALSE),0)+IFERROR(VLOOKUP($B25,'RA4-Tracks_Roads'!$A$11:$BN$18,MATCH(Summary!AF$1,'RA4-Tracks_Roads'!$A$9:$BN$9,1),FALSE),0)+IFERROR(VLOOKUP($B25,'RA5-ROM'!$A$11:$BN$18,MATCH(Summary!AF$1,'RA5-ROM'!$A$9:$BN$9,1),FALSE),0)+IFERROR(VLOOKUP($B25,'RA6-CHPP'!$A$11:$BN$18,MATCH(Summary!AF$1,'RA6-CHPP'!$A$9:$BN$9,1),FALSE),0)+IFERROR(VLOOKUP($B25,'RA7-Mine Infrastructure Area'!$A$11:$BN$18,MATCH(Summary!AF$1,'RA7-Mine Infrastructure Area'!$A$9:$BN$9,1),FALSE),0)+IFERROR(VLOOKUP($B25,'RA8-Water Management Structures'!$A$11:$BN$18,MATCH(Summary!AF$1,'RA8-Water Management Structures'!$A$9:$BN$9,1),FALSE),0)+IFERROR(VLOOKUP($B25,'RA9-Codisposal Upper'!$A$11:$BN$18,MATCH(Summary!AF$1,'RA9-Codisposal Upper'!$A$9:$BN$9,1),FALSE),0)+IFERROR(VLOOKUP($B25,'RA10-Codisposal Slopes'!$A$11:$BN$18,MATCH(Summary!AF$1,'RA10-Codisposal Slopes'!$A$9:$BN$9,1),FALSE),0)+IFERROR(VLOOKUP($B25,'IA1-Final Void inc Ramps'!$A$11:$BN$18,MATCH(Summary!AF$1,'IA1-Final Void inc Ramps'!$A$9:$BN$9,1),FALSE),0)</f>
        <v>0</v>
      </c>
      <c r="AG25" s="47">
        <f>IFERROR(VLOOKUP($B25,'RA1- Elevated Dumps Upper'!$A$11:$BN$18,MATCH(Summary!AG$1,'RA1- Elevated Dumps Upper'!$A$9:$BN$9,1),FALSE),0)+IFERROR(VLOOKUP($B25,'RA2-Elevated Dumps Slopes'!$A$11:$BN$18,MATCH(Summary!AG$1,'RA2-Elevated Dumps Slopes'!$A$9:$BN$9,1),FALSE),0)+IFERROR(VLOOKUP($B25,'RA3-Backfilled Pits'!$A$11:$BN$18,MATCH(Summary!AG$1,'RA3-Backfilled Pits'!$A$9:$BN$9,1),FALSE),0)+IFERROR(VLOOKUP($B25,'RA4-Tracks_Roads'!$A$11:$BN$18,MATCH(Summary!AG$1,'RA4-Tracks_Roads'!$A$9:$BN$9,1),FALSE),0)+IFERROR(VLOOKUP($B25,'RA5-ROM'!$A$11:$BN$18,MATCH(Summary!AG$1,'RA5-ROM'!$A$9:$BN$9,1),FALSE),0)+IFERROR(VLOOKUP($B25,'RA6-CHPP'!$A$11:$BN$18,MATCH(Summary!AG$1,'RA6-CHPP'!$A$9:$BN$9,1),FALSE),0)+IFERROR(VLOOKUP($B25,'RA7-Mine Infrastructure Area'!$A$11:$BN$18,MATCH(Summary!AG$1,'RA7-Mine Infrastructure Area'!$A$9:$BN$9,1),FALSE),0)+IFERROR(VLOOKUP($B25,'RA8-Water Management Structures'!$A$11:$BN$18,MATCH(Summary!AG$1,'RA8-Water Management Structures'!$A$9:$BN$9,1),FALSE),0)+IFERROR(VLOOKUP($B25,'RA9-Codisposal Upper'!$A$11:$BN$18,MATCH(Summary!AG$1,'RA9-Codisposal Upper'!$A$9:$BN$9,1),FALSE),0)+IFERROR(VLOOKUP($B25,'RA10-Codisposal Slopes'!$A$11:$BN$18,MATCH(Summary!AG$1,'RA10-Codisposal Slopes'!$A$9:$BN$9,1),FALSE),0)+IFERROR(VLOOKUP($B25,'IA1-Final Void inc Ramps'!$A$11:$BN$18,MATCH(Summary!AG$1,'IA1-Final Void inc Ramps'!$A$9:$BN$9,1),FALSE),0)</f>
        <v>171.56</v>
      </c>
      <c r="AH25" s="47">
        <f>IFERROR(VLOOKUP($B25,'RA1- Elevated Dumps Upper'!$A$11:$BN$18,MATCH(Summary!AH$1,'RA1- Elevated Dumps Upper'!$A$9:$BN$9,1),FALSE),0)+IFERROR(VLOOKUP($B25,'RA2-Elevated Dumps Slopes'!$A$11:$BN$18,MATCH(Summary!AH$1,'RA2-Elevated Dumps Slopes'!$A$9:$BN$9,1),FALSE),0)+IFERROR(VLOOKUP($B25,'RA3-Backfilled Pits'!$A$11:$BN$18,MATCH(Summary!AH$1,'RA3-Backfilled Pits'!$A$9:$BN$9,1),FALSE),0)+IFERROR(VLOOKUP($B25,'RA4-Tracks_Roads'!$A$11:$BN$18,MATCH(Summary!AH$1,'RA4-Tracks_Roads'!$A$9:$BN$9,1),FALSE),0)+IFERROR(VLOOKUP($B25,'RA5-ROM'!$A$11:$BN$18,MATCH(Summary!AH$1,'RA5-ROM'!$A$9:$BN$9,1),FALSE),0)+IFERROR(VLOOKUP($B25,'RA6-CHPP'!$A$11:$BN$18,MATCH(Summary!AH$1,'RA6-CHPP'!$A$9:$BN$9,1),FALSE),0)+IFERROR(VLOOKUP($B25,'RA7-Mine Infrastructure Area'!$A$11:$BN$18,MATCH(Summary!AH$1,'RA7-Mine Infrastructure Area'!$A$9:$BN$9,1),FALSE),0)+IFERROR(VLOOKUP($B25,'RA8-Water Management Structures'!$A$11:$BN$18,MATCH(Summary!AH$1,'RA8-Water Management Structures'!$A$9:$BN$9,1),FALSE),0)+IFERROR(VLOOKUP($B25,'RA9-Codisposal Upper'!$A$11:$BN$18,MATCH(Summary!AH$1,'RA9-Codisposal Upper'!$A$9:$BN$9,1),FALSE),0)+IFERROR(VLOOKUP($B25,'RA10-Codisposal Slopes'!$A$11:$BN$18,MATCH(Summary!AH$1,'RA10-Codisposal Slopes'!$A$9:$BN$9,1),FALSE),0)+IFERROR(VLOOKUP($B25,'IA1-Final Void inc Ramps'!$A$11:$BN$18,MATCH(Summary!AH$1,'IA1-Final Void inc Ramps'!$A$9:$BN$9,1),FALSE),0)</f>
        <v>171.56</v>
      </c>
      <c r="AI25" s="47">
        <f>IFERROR(VLOOKUP($B25,'RA1- Elevated Dumps Upper'!$A$11:$BN$18,MATCH(Summary!AI$1,'RA1- Elevated Dumps Upper'!$A$9:$BN$9,1),FALSE),0)+IFERROR(VLOOKUP($B25,'RA2-Elevated Dumps Slopes'!$A$11:$BN$18,MATCH(Summary!AI$1,'RA2-Elevated Dumps Slopes'!$A$9:$BN$9,1),FALSE),0)+IFERROR(VLOOKUP($B25,'RA3-Backfilled Pits'!$A$11:$BN$18,MATCH(Summary!AI$1,'RA3-Backfilled Pits'!$A$9:$BN$9,1),FALSE),0)+IFERROR(VLOOKUP($B25,'RA4-Tracks_Roads'!$A$11:$BN$18,MATCH(Summary!AI$1,'RA4-Tracks_Roads'!$A$9:$BN$9,1),FALSE),0)+IFERROR(VLOOKUP($B25,'RA5-ROM'!$A$11:$BN$18,MATCH(Summary!AI$1,'RA5-ROM'!$A$9:$BN$9,1),FALSE),0)+IFERROR(VLOOKUP($B25,'RA6-CHPP'!$A$11:$BN$18,MATCH(Summary!AI$1,'RA6-CHPP'!$A$9:$BN$9,1),FALSE),0)+IFERROR(VLOOKUP($B25,'RA7-Mine Infrastructure Area'!$A$11:$BN$18,MATCH(Summary!AI$1,'RA7-Mine Infrastructure Area'!$A$9:$BN$9,1),FALSE),0)+IFERROR(VLOOKUP($B25,'RA8-Water Management Structures'!$A$11:$BN$18,MATCH(Summary!AI$1,'RA8-Water Management Structures'!$A$9:$BN$9,1),FALSE),0)+IFERROR(VLOOKUP($B25,'RA9-Codisposal Upper'!$A$11:$BN$18,MATCH(Summary!AI$1,'RA9-Codisposal Upper'!$A$9:$BN$9,1),FALSE),0)+IFERROR(VLOOKUP($B25,'RA10-Codisposal Slopes'!$A$11:$BN$18,MATCH(Summary!AI$1,'RA10-Codisposal Slopes'!$A$9:$BN$9,1),FALSE),0)+IFERROR(VLOOKUP($B25,'IA1-Final Void inc Ramps'!$A$11:$BN$18,MATCH(Summary!AI$1,'IA1-Final Void inc Ramps'!$A$9:$BN$9,1),FALSE),0)</f>
        <v>171.56</v>
      </c>
      <c r="AJ25" s="47">
        <f>IFERROR(VLOOKUP($B25,'RA1- Elevated Dumps Upper'!$A$11:$BN$18,MATCH(Summary!AJ$1,'RA1- Elevated Dumps Upper'!$A$9:$BN$9,1),FALSE),0)+IFERROR(VLOOKUP($B25,'RA2-Elevated Dumps Slopes'!$A$11:$BN$18,MATCH(Summary!AJ$1,'RA2-Elevated Dumps Slopes'!$A$9:$BN$9,1),FALSE),0)+IFERROR(VLOOKUP($B25,'RA3-Backfilled Pits'!$A$11:$BN$18,MATCH(Summary!AJ$1,'RA3-Backfilled Pits'!$A$9:$BN$9,1),FALSE),0)+IFERROR(VLOOKUP($B25,'RA4-Tracks_Roads'!$A$11:$BN$18,MATCH(Summary!AJ$1,'RA4-Tracks_Roads'!$A$9:$BN$9,1),FALSE),0)+IFERROR(VLOOKUP($B25,'RA5-ROM'!$A$11:$BN$18,MATCH(Summary!AJ$1,'RA5-ROM'!$A$9:$BN$9,1),FALSE),0)+IFERROR(VLOOKUP($B25,'RA6-CHPP'!$A$11:$BN$18,MATCH(Summary!AJ$1,'RA6-CHPP'!$A$9:$BN$9,1),FALSE),0)+IFERROR(VLOOKUP($B25,'RA7-Mine Infrastructure Area'!$A$11:$BN$18,MATCH(Summary!AJ$1,'RA7-Mine Infrastructure Area'!$A$9:$BN$9,1),FALSE),0)+IFERROR(VLOOKUP($B25,'RA8-Water Management Structures'!$A$11:$BN$18,MATCH(Summary!AJ$1,'RA8-Water Management Structures'!$A$9:$BN$9,1),FALSE),0)+IFERROR(VLOOKUP($B25,'RA9-Codisposal Upper'!$A$11:$BN$18,MATCH(Summary!AJ$1,'RA9-Codisposal Upper'!$A$9:$BN$9,1),FALSE),0)+IFERROR(VLOOKUP($B25,'RA10-Codisposal Slopes'!$A$11:$BN$18,MATCH(Summary!AJ$1,'RA10-Codisposal Slopes'!$A$9:$BN$9,1),FALSE),0)+IFERROR(VLOOKUP($B25,'IA1-Final Void inc Ramps'!$A$11:$BN$18,MATCH(Summary!AJ$1,'IA1-Final Void inc Ramps'!$A$9:$BN$9,1),FALSE),0)</f>
        <v>171.56</v>
      </c>
      <c r="AK25" s="47">
        <f>IFERROR(VLOOKUP($B25,'RA1- Elevated Dumps Upper'!$A$11:$BN$18,MATCH(Summary!AK$1,'RA1- Elevated Dumps Upper'!$A$9:$BN$9,1),FALSE),0)+IFERROR(VLOOKUP($B25,'RA2-Elevated Dumps Slopes'!$A$11:$BN$18,MATCH(Summary!AK$1,'RA2-Elevated Dumps Slopes'!$A$9:$BN$9,1),FALSE),0)+IFERROR(VLOOKUP($B25,'RA3-Backfilled Pits'!$A$11:$BN$18,MATCH(Summary!AK$1,'RA3-Backfilled Pits'!$A$9:$BN$9,1),FALSE),0)+IFERROR(VLOOKUP($B25,'RA4-Tracks_Roads'!$A$11:$BN$18,MATCH(Summary!AK$1,'RA4-Tracks_Roads'!$A$9:$BN$9,1),FALSE),0)+IFERROR(VLOOKUP($B25,'RA5-ROM'!$A$11:$BN$18,MATCH(Summary!AK$1,'RA5-ROM'!$A$9:$BN$9,1),FALSE),0)+IFERROR(VLOOKUP($B25,'RA6-CHPP'!$A$11:$BN$18,MATCH(Summary!AK$1,'RA6-CHPP'!$A$9:$BN$9,1),FALSE),0)+IFERROR(VLOOKUP($B25,'RA7-Mine Infrastructure Area'!$A$11:$BN$18,MATCH(Summary!AK$1,'RA7-Mine Infrastructure Area'!$A$9:$BN$9,1),FALSE),0)+IFERROR(VLOOKUP($B25,'RA8-Water Management Structures'!$A$11:$BN$18,MATCH(Summary!AK$1,'RA8-Water Management Structures'!$A$9:$BN$9,1),FALSE),0)+IFERROR(VLOOKUP($B25,'RA9-Codisposal Upper'!$A$11:$BN$18,MATCH(Summary!AK$1,'RA9-Codisposal Upper'!$A$9:$BN$9,1),FALSE),0)+IFERROR(VLOOKUP($B25,'RA10-Codisposal Slopes'!$A$11:$BN$18,MATCH(Summary!AK$1,'RA10-Codisposal Slopes'!$A$9:$BN$9,1),FALSE),0)+IFERROR(VLOOKUP($B25,'IA1-Final Void inc Ramps'!$A$11:$BN$18,MATCH(Summary!AK$1,'IA1-Final Void inc Ramps'!$A$9:$BN$9,1),FALSE),0)</f>
        <v>171.56</v>
      </c>
      <c r="AL25" s="47">
        <f>IFERROR(VLOOKUP($B25,'RA1- Elevated Dumps Upper'!$A$11:$BN$18,MATCH(Summary!AL$1,'RA1- Elevated Dumps Upper'!$A$9:$BN$9,1),FALSE),0)+IFERROR(VLOOKUP($B25,'RA2-Elevated Dumps Slopes'!$A$11:$BN$18,MATCH(Summary!AL$1,'RA2-Elevated Dumps Slopes'!$A$9:$BN$9,1),FALSE),0)+IFERROR(VLOOKUP($B25,'RA3-Backfilled Pits'!$A$11:$BN$18,MATCH(Summary!AL$1,'RA3-Backfilled Pits'!$A$9:$BN$9,1),FALSE),0)+IFERROR(VLOOKUP($B25,'RA4-Tracks_Roads'!$A$11:$BN$18,MATCH(Summary!AL$1,'RA4-Tracks_Roads'!$A$9:$BN$9,1),FALSE),0)+IFERROR(VLOOKUP($B25,'RA5-ROM'!$A$11:$BN$18,MATCH(Summary!AL$1,'RA5-ROM'!$A$9:$BN$9,1),FALSE),0)+IFERROR(VLOOKUP($B25,'RA6-CHPP'!$A$11:$BN$18,MATCH(Summary!AL$1,'RA6-CHPP'!$A$9:$BN$9,1),FALSE),0)+IFERROR(VLOOKUP($B25,'RA7-Mine Infrastructure Area'!$A$11:$BN$18,MATCH(Summary!AL$1,'RA7-Mine Infrastructure Area'!$A$9:$BN$9,1),FALSE),0)+IFERROR(VLOOKUP($B25,'RA8-Water Management Structures'!$A$11:$BN$18,MATCH(Summary!AL$1,'RA8-Water Management Structures'!$A$9:$BN$9,1),FALSE),0)+IFERROR(VLOOKUP($B25,'RA9-Codisposal Upper'!$A$11:$BN$18,MATCH(Summary!AL$1,'RA9-Codisposal Upper'!$A$9:$BN$9,1),FALSE),0)+IFERROR(VLOOKUP($B25,'RA10-Codisposal Slopes'!$A$11:$BN$18,MATCH(Summary!AL$1,'RA10-Codisposal Slopes'!$A$9:$BN$9,1),FALSE),0)+IFERROR(VLOOKUP($B25,'IA1-Final Void inc Ramps'!$A$11:$BN$18,MATCH(Summary!AL$1,'IA1-Final Void inc Ramps'!$A$9:$BN$9,1),FALSE),0)</f>
        <v>171.56</v>
      </c>
      <c r="AM25" s="47">
        <f>IFERROR(VLOOKUP($B25,'RA1- Elevated Dumps Upper'!$A$11:$BN$18,MATCH(Summary!AM$1,'RA1- Elevated Dumps Upper'!$A$9:$BN$9,1),FALSE),0)+IFERROR(VLOOKUP($B25,'RA2-Elevated Dumps Slopes'!$A$11:$BN$18,MATCH(Summary!AM$1,'RA2-Elevated Dumps Slopes'!$A$9:$BN$9,1),FALSE),0)+IFERROR(VLOOKUP($B25,'RA3-Backfilled Pits'!$A$11:$BN$18,MATCH(Summary!AM$1,'RA3-Backfilled Pits'!$A$9:$BN$9,1),FALSE),0)+IFERROR(VLOOKUP($B25,'RA4-Tracks_Roads'!$A$11:$BN$18,MATCH(Summary!AM$1,'RA4-Tracks_Roads'!$A$9:$BN$9,1),FALSE),0)+IFERROR(VLOOKUP($B25,'RA5-ROM'!$A$11:$BN$18,MATCH(Summary!AM$1,'RA5-ROM'!$A$9:$BN$9,1),FALSE),0)+IFERROR(VLOOKUP($B25,'RA6-CHPP'!$A$11:$BN$18,MATCH(Summary!AM$1,'RA6-CHPP'!$A$9:$BN$9,1),FALSE),0)+IFERROR(VLOOKUP($B25,'RA7-Mine Infrastructure Area'!$A$11:$BN$18,MATCH(Summary!AM$1,'RA7-Mine Infrastructure Area'!$A$9:$BN$9,1),FALSE),0)+IFERROR(VLOOKUP($B25,'RA8-Water Management Structures'!$A$11:$BN$18,MATCH(Summary!AM$1,'RA8-Water Management Structures'!$A$9:$BN$9,1),FALSE),0)+IFERROR(VLOOKUP($B25,'RA9-Codisposal Upper'!$A$11:$BN$18,MATCH(Summary!AM$1,'RA9-Codisposal Upper'!$A$9:$BN$9,1),FALSE),0)+IFERROR(VLOOKUP($B25,'RA10-Codisposal Slopes'!$A$11:$BN$18,MATCH(Summary!AM$1,'RA10-Codisposal Slopes'!$A$9:$BN$9,1),FALSE),0)+IFERROR(VLOOKUP($B25,'IA1-Final Void inc Ramps'!$A$11:$BN$18,MATCH(Summary!AM$1,'IA1-Final Void inc Ramps'!$A$9:$BN$9,1),FALSE),0)</f>
        <v>171.56</v>
      </c>
      <c r="AN25" s="47">
        <f>IFERROR(VLOOKUP($B25,'RA1- Elevated Dumps Upper'!$A$11:$BN$18,MATCH(Summary!AN$1,'RA1- Elevated Dumps Upper'!$A$9:$BN$9,1),FALSE),0)+IFERROR(VLOOKUP($B25,'RA2-Elevated Dumps Slopes'!$A$11:$BN$18,MATCH(Summary!AN$1,'RA2-Elevated Dumps Slopes'!$A$9:$BN$9,1),FALSE),0)+IFERROR(VLOOKUP($B25,'RA3-Backfilled Pits'!$A$11:$BN$18,MATCH(Summary!AN$1,'RA3-Backfilled Pits'!$A$9:$BN$9,1),FALSE),0)+IFERROR(VLOOKUP($B25,'RA4-Tracks_Roads'!$A$11:$BN$18,MATCH(Summary!AN$1,'RA4-Tracks_Roads'!$A$9:$BN$9,1),FALSE),0)+IFERROR(VLOOKUP($B25,'RA5-ROM'!$A$11:$BN$18,MATCH(Summary!AN$1,'RA5-ROM'!$A$9:$BN$9,1),FALSE),0)+IFERROR(VLOOKUP($B25,'RA6-CHPP'!$A$11:$BN$18,MATCH(Summary!AN$1,'RA6-CHPP'!$A$9:$BN$9,1),FALSE),0)+IFERROR(VLOOKUP($B25,'RA7-Mine Infrastructure Area'!$A$11:$BN$18,MATCH(Summary!AN$1,'RA7-Mine Infrastructure Area'!$A$9:$BN$9,1),FALSE),0)+IFERROR(VLOOKUP($B25,'RA8-Water Management Structures'!$A$11:$BN$18,MATCH(Summary!AN$1,'RA8-Water Management Structures'!$A$9:$BN$9,1),FALSE),0)+IFERROR(VLOOKUP($B25,'RA9-Codisposal Upper'!$A$11:$BN$18,MATCH(Summary!AN$1,'RA9-Codisposal Upper'!$A$9:$BN$9,1),FALSE),0)+IFERROR(VLOOKUP($B25,'RA10-Codisposal Slopes'!$A$11:$BN$18,MATCH(Summary!AN$1,'RA10-Codisposal Slopes'!$A$9:$BN$9,1),FALSE),0)+IFERROR(VLOOKUP($B25,'IA1-Final Void inc Ramps'!$A$11:$BN$18,MATCH(Summary!AN$1,'IA1-Final Void inc Ramps'!$A$9:$BN$9,1),FALSE),0)</f>
        <v>171.56</v>
      </c>
      <c r="AO25" s="47">
        <f>IFERROR(VLOOKUP($B25,'RA1- Elevated Dumps Upper'!$A$11:$BN$18,MATCH(Summary!AO$1,'RA1- Elevated Dumps Upper'!$A$9:$BN$9,1),FALSE),0)+IFERROR(VLOOKUP($B25,'RA2-Elevated Dumps Slopes'!$A$11:$BN$18,MATCH(Summary!AO$1,'RA2-Elevated Dumps Slopes'!$A$9:$BN$9,1),FALSE),0)+IFERROR(VLOOKUP($B25,'RA3-Backfilled Pits'!$A$11:$BN$18,MATCH(Summary!AO$1,'RA3-Backfilled Pits'!$A$9:$BN$9,1),FALSE),0)+IFERROR(VLOOKUP($B25,'RA4-Tracks_Roads'!$A$11:$BN$18,MATCH(Summary!AO$1,'RA4-Tracks_Roads'!$A$9:$BN$9,1),FALSE),0)+IFERROR(VLOOKUP($B25,'RA5-ROM'!$A$11:$BN$18,MATCH(Summary!AO$1,'RA5-ROM'!$A$9:$BN$9,1),FALSE),0)+IFERROR(VLOOKUP($B25,'RA6-CHPP'!$A$11:$BN$18,MATCH(Summary!AO$1,'RA6-CHPP'!$A$9:$BN$9,1),FALSE),0)+IFERROR(VLOOKUP($B25,'RA7-Mine Infrastructure Area'!$A$11:$BN$18,MATCH(Summary!AO$1,'RA7-Mine Infrastructure Area'!$A$9:$BN$9,1),FALSE),0)+IFERROR(VLOOKUP($B25,'RA8-Water Management Structures'!$A$11:$BN$18,MATCH(Summary!AO$1,'RA8-Water Management Structures'!$A$9:$BN$9,1),FALSE),0)+IFERROR(VLOOKUP($B25,'RA9-Codisposal Upper'!$A$11:$BN$18,MATCH(Summary!AO$1,'RA9-Codisposal Upper'!$A$9:$BN$9,1),FALSE),0)+IFERROR(VLOOKUP($B25,'RA10-Codisposal Slopes'!$A$11:$BN$18,MATCH(Summary!AO$1,'RA10-Codisposal Slopes'!$A$9:$BN$9,1),FALSE),0)+IFERROR(VLOOKUP($B25,'IA1-Final Void inc Ramps'!$A$11:$BN$18,MATCH(Summary!AO$1,'IA1-Final Void inc Ramps'!$A$9:$BN$9,1),FALSE),0)</f>
        <v>171.56</v>
      </c>
      <c r="AP25" s="47">
        <f>IFERROR(VLOOKUP($B25,'RA1- Elevated Dumps Upper'!$A$11:$BN$18,MATCH(Summary!AP$1,'RA1- Elevated Dumps Upper'!$A$9:$BN$9,1),FALSE),0)+IFERROR(VLOOKUP($B25,'RA2-Elevated Dumps Slopes'!$A$11:$BN$18,MATCH(Summary!AP$1,'RA2-Elevated Dumps Slopes'!$A$9:$BN$9,1),FALSE),0)+IFERROR(VLOOKUP($B25,'RA3-Backfilled Pits'!$A$11:$BN$18,MATCH(Summary!AP$1,'RA3-Backfilled Pits'!$A$9:$BN$9,1),FALSE),0)+IFERROR(VLOOKUP($B25,'RA4-Tracks_Roads'!$A$11:$BN$18,MATCH(Summary!AP$1,'RA4-Tracks_Roads'!$A$9:$BN$9,1),FALSE),0)+IFERROR(VLOOKUP($B25,'RA5-ROM'!$A$11:$BN$18,MATCH(Summary!AP$1,'RA5-ROM'!$A$9:$BN$9,1),FALSE),0)+IFERROR(VLOOKUP($B25,'RA6-CHPP'!$A$11:$BN$18,MATCH(Summary!AP$1,'RA6-CHPP'!$A$9:$BN$9,1),FALSE),0)+IFERROR(VLOOKUP($B25,'RA7-Mine Infrastructure Area'!$A$11:$BN$18,MATCH(Summary!AP$1,'RA7-Mine Infrastructure Area'!$A$9:$BN$9,1),FALSE),0)+IFERROR(VLOOKUP($B25,'RA8-Water Management Structures'!$A$11:$BN$18,MATCH(Summary!AP$1,'RA8-Water Management Structures'!$A$9:$BN$9,1),FALSE),0)+IFERROR(VLOOKUP($B25,'RA9-Codisposal Upper'!$A$11:$BN$18,MATCH(Summary!AP$1,'RA9-Codisposal Upper'!$A$9:$BN$9,1),FALSE),0)+IFERROR(VLOOKUP($B25,'RA10-Codisposal Slopes'!$A$11:$BN$18,MATCH(Summary!AP$1,'RA10-Codisposal Slopes'!$A$9:$BN$9,1),FALSE),0)+IFERROR(VLOOKUP($B25,'IA1-Final Void inc Ramps'!$A$11:$BN$18,MATCH(Summary!AP$1,'IA1-Final Void inc Ramps'!$A$9:$BN$9,1),FALSE),0)</f>
        <v>171.56</v>
      </c>
      <c r="AQ25" s="47">
        <f>IFERROR(VLOOKUP($B25,'RA1- Elevated Dumps Upper'!$A$11:$BN$18,MATCH(Summary!AQ$1,'RA1- Elevated Dumps Upper'!$A$9:$BN$9,1),FALSE),0)+IFERROR(VLOOKUP($B25,'RA2-Elevated Dumps Slopes'!$A$11:$BN$18,MATCH(Summary!AQ$1,'RA2-Elevated Dumps Slopes'!$A$9:$BN$9,1),FALSE),0)+IFERROR(VLOOKUP($B25,'RA3-Backfilled Pits'!$A$11:$BN$18,MATCH(Summary!AQ$1,'RA3-Backfilled Pits'!$A$9:$BN$9,1),FALSE),0)+IFERROR(VLOOKUP($B25,'RA4-Tracks_Roads'!$A$11:$BN$18,MATCH(Summary!AQ$1,'RA4-Tracks_Roads'!$A$9:$BN$9,1),FALSE),0)+IFERROR(VLOOKUP($B25,'RA5-ROM'!$A$11:$BN$18,MATCH(Summary!AQ$1,'RA5-ROM'!$A$9:$BN$9,1),FALSE),0)+IFERROR(VLOOKUP($B25,'RA6-CHPP'!$A$11:$BN$18,MATCH(Summary!AQ$1,'RA6-CHPP'!$A$9:$BN$9,1),FALSE),0)+IFERROR(VLOOKUP($B25,'RA7-Mine Infrastructure Area'!$A$11:$BN$18,MATCH(Summary!AQ$1,'RA7-Mine Infrastructure Area'!$A$9:$BN$9,1),FALSE),0)+IFERROR(VLOOKUP($B25,'RA8-Water Management Structures'!$A$11:$BN$18,MATCH(Summary!AQ$1,'RA8-Water Management Structures'!$A$9:$BN$9,1),FALSE),0)+IFERROR(VLOOKUP($B25,'RA9-Codisposal Upper'!$A$11:$BN$18,MATCH(Summary!AQ$1,'RA9-Codisposal Upper'!$A$9:$BN$9,1),FALSE),0)+IFERROR(VLOOKUP($B25,'RA10-Codisposal Slopes'!$A$11:$BN$18,MATCH(Summary!AQ$1,'RA10-Codisposal Slopes'!$A$9:$BN$9,1),FALSE),0)+IFERROR(VLOOKUP($B25,'IA1-Final Void inc Ramps'!$A$11:$BN$18,MATCH(Summary!AQ$1,'IA1-Final Void inc Ramps'!$A$9:$BN$9,1),FALSE),0)</f>
        <v>171.56</v>
      </c>
      <c r="AR25" s="47">
        <f>IFERROR(VLOOKUP($B25,'RA1- Elevated Dumps Upper'!$A$11:$BN$18,MATCH(Summary!AR$1,'RA1- Elevated Dumps Upper'!$A$9:$BN$9,1),FALSE),0)+IFERROR(VLOOKUP($B25,'RA2-Elevated Dumps Slopes'!$A$11:$BN$18,MATCH(Summary!AR$1,'RA2-Elevated Dumps Slopes'!$A$9:$BN$9,1),FALSE),0)+IFERROR(VLOOKUP($B25,'RA3-Backfilled Pits'!$A$11:$BN$18,MATCH(Summary!AR$1,'RA3-Backfilled Pits'!$A$9:$BN$9,1),FALSE),0)+IFERROR(VLOOKUP($B25,'RA4-Tracks_Roads'!$A$11:$BN$18,MATCH(Summary!AR$1,'RA4-Tracks_Roads'!$A$9:$BN$9,1),FALSE),0)+IFERROR(VLOOKUP($B25,'RA5-ROM'!$A$11:$BN$18,MATCH(Summary!AR$1,'RA5-ROM'!$A$9:$BN$9,1),FALSE),0)+IFERROR(VLOOKUP($B25,'RA6-CHPP'!$A$11:$BN$18,MATCH(Summary!AR$1,'RA6-CHPP'!$A$9:$BN$9,1),FALSE),0)+IFERROR(VLOOKUP($B25,'RA7-Mine Infrastructure Area'!$A$11:$BN$18,MATCH(Summary!AR$1,'RA7-Mine Infrastructure Area'!$A$9:$BN$9,1),FALSE),0)+IFERROR(VLOOKUP($B25,'RA8-Water Management Structures'!$A$11:$BN$18,MATCH(Summary!AR$1,'RA8-Water Management Structures'!$A$9:$BN$9,1),FALSE),0)+IFERROR(VLOOKUP($B25,'RA9-Codisposal Upper'!$A$11:$BN$18,MATCH(Summary!AR$1,'RA9-Codisposal Upper'!$A$9:$BN$9,1),FALSE),0)+IFERROR(VLOOKUP($B25,'RA10-Codisposal Slopes'!$A$11:$BN$18,MATCH(Summary!AR$1,'RA10-Codisposal Slopes'!$A$9:$BN$9,1),FALSE),0)+IFERROR(VLOOKUP($B25,'IA1-Final Void inc Ramps'!$A$11:$BN$18,MATCH(Summary!AR$1,'IA1-Final Void inc Ramps'!$A$9:$BN$9,1),FALSE),0)</f>
        <v>171.56</v>
      </c>
      <c r="AS25" s="47">
        <f>IFERROR(VLOOKUP($B25,'RA1- Elevated Dumps Upper'!$A$11:$BN$18,MATCH(Summary!AS$1,'RA1- Elevated Dumps Upper'!$A$9:$BN$9,1),FALSE),0)+IFERROR(VLOOKUP($B25,'RA2-Elevated Dumps Slopes'!$A$11:$BN$18,MATCH(Summary!AS$1,'RA2-Elevated Dumps Slopes'!$A$9:$BN$9,1),FALSE),0)+IFERROR(VLOOKUP($B25,'RA3-Backfilled Pits'!$A$11:$BN$18,MATCH(Summary!AS$1,'RA3-Backfilled Pits'!$A$9:$BN$9,1),FALSE),0)+IFERROR(VLOOKUP($B25,'RA4-Tracks_Roads'!$A$11:$BN$18,MATCH(Summary!AS$1,'RA4-Tracks_Roads'!$A$9:$BN$9,1),FALSE),0)+IFERROR(VLOOKUP($B25,'RA5-ROM'!$A$11:$BN$18,MATCH(Summary!AS$1,'RA5-ROM'!$A$9:$BN$9,1),FALSE),0)+IFERROR(VLOOKUP($B25,'RA6-CHPP'!$A$11:$BN$18,MATCH(Summary!AS$1,'RA6-CHPP'!$A$9:$BN$9,1),FALSE),0)+IFERROR(VLOOKUP($B25,'RA7-Mine Infrastructure Area'!$A$11:$BN$18,MATCH(Summary!AS$1,'RA7-Mine Infrastructure Area'!$A$9:$BN$9,1),FALSE),0)+IFERROR(VLOOKUP($B25,'RA8-Water Management Structures'!$A$11:$BN$18,MATCH(Summary!AS$1,'RA8-Water Management Structures'!$A$9:$BN$9,1),FALSE),0)+IFERROR(VLOOKUP($B25,'RA9-Codisposal Upper'!$A$11:$BN$18,MATCH(Summary!AS$1,'RA9-Codisposal Upper'!$A$9:$BN$9,1),FALSE),0)+IFERROR(VLOOKUP($B25,'RA10-Codisposal Slopes'!$A$11:$BN$18,MATCH(Summary!AS$1,'RA10-Codisposal Slopes'!$A$9:$BN$9,1),FALSE),0)+IFERROR(VLOOKUP($B25,'IA1-Final Void inc Ramps'!$A$11:$BN$18,MATCH(Summary!AS$1,'IA1-Final Void inc Ramps'!$A$9:$BN$9,1),FALSE),0)</f>
        <v>171.56</v>
      </c>
      <c r="AT25" s="47">
        <f>IFERROR(VLOOKUP($B25,'RA1- Elevated Dumps Upper'!$A$11:$BN$18,MATCH(Summary!AT$1,'RA1- Elevated Dumps Upper'!$A$9:$BN$9,1),FALSE),0)+IFERROR(VLOOKUP($B25,'RA2-Elevated Dumps Slopes'!$A$11:$BN$18,MATCH(Summary!AT$1,'RA2-Elevated Dumps Slopes'!$A$9:$BN$9,1),FALSE),0)+IFERROR(VLOOKUP($B25,'RA3-Backfilled Pits'!$A$11:$BN$18,MATCH(Summary!AT$1,'RA3-Backfilled Pits'!$A$9:$BN$9,1),FALSE),0)+IFERROR(VLOOKUP($B25,'RA4-Tracks_Roads'!$A$11:$BN$18,MATCH(Summary!AT$1,'RA4-Tracks_Roads'!$A$9:$BN$9,1),FALSE),0)+IFERROR(VLOOKUP($B25,'RA5-ROM'!$A$11:$BN$18,MATCH(Summary!AT$1,'RA5-ROM'!$A$9:$BN$9,1),FALSE),0)+IFERROR(VLOOKUP($B25,'RA6-CHPP'!$A$11:$BN$18,MATCH(Summary!AT$1,'RA6-CHPP'!$A$9:$BN$9,1),FALSE),0)+IFERROR(VLOOKUP($B25,'RA7-Mine Infrastructure Area'!$A$11:$BN$18,MATCH(Summary!AT$1,'RA7-Mine Infrastructure Area'!$A$9:$BN$9,1),FALSE),0)+IFERROR(VLOOKUP($B25,'RA8-Water Management Structures'!$A$11:$BN$18,MATCH(Summary!AT$1,'RA8-Water Management Structures'!$A$9:$BN$9,1),FALSE),0)+IFERROR(VLOOKUP($B25,'RA9-Codisposal Upper'!$A$11:$BN$18,MATCH(Summary!AT$1,'RA9-Codisposal Upper'!$A$9:$BN$9,1),FALSE),0)+IFERROR(VLOOKUP($B25,'RA10-Codisposal Slopes'!$A$11:$BN$18,MATCH(Summary!AT$1,'RA10-Codisposal Slopes'!$A$9:$BN$9,1),FALSE),0)+IFERROR(VLOOKUP($B25,'IA1-Final Void inc Ramps'!$A$11:$BN$18,MATCH(Summary!AT$1,'IA1-Final Void inc Ramps'!$A$9:$BN$9,1),FALSE),0)</f>
        <v>171.56</v>
      </c>
      <c r="AU25" s="47">
        <f>IFERROR(VLOOKUP($B25,'RA1- Elevated Dumps Upper'!$A$11:$BN$18,MATCH(Summary!AU$1,'RA1- Elevated Dumps Upper'!$A$9:$BN$9,1),FALSE),0)+IFERROR(VLOOKUP($B25,'RA2-Elevated Dumps Slopes'!$A$11:$BN$18,MATCH(Summary!AU$1,'RA2-Elevated Dumps Slopes'!$A$9:$BN$9,1),FALSE),0)+IFERROR(VLOOKUP($B25,'RA3-Backfilled Pits'!$A$11:$BN$18,MATCH(Summary!AU$1,'RA3-Backfilled Pits'!$A$9:$BN$9,1),FALSE),0)+IFERROR(VLOOKUP($B25,'RA4-Tracks_Roads'!$A$11:$BN$18,MATCH(Summary!AU$1,'RA4-Tracks_Roads'!$A$9:$BN$9,1),FALSE),0)+IFERROR(VLOOKUP($B25,'RA5-ROM'!$A$11:$BN$18,MATCH(Summary!AU$1,'RA5-ROM'!$A$9:$BN$9,1),FALSE),0)+IFERROR(VLOOKUP($B25,'RA6-CHPP'!$A$11:$BN$18,MATCH(Summary!AU$1,'RA6-CHPP'!$A$9:$BN$9,1),FALSE),0)+IFERROR(VLOOKUP($B25,'RA7-Mine Infrastructure Area'!$A$11:$BN$18,MATCH(Summary!AU$1,'RA7-Mine Infrastructure Area'!$A$9:$BN$9,1),FALSE),0)+IFERROR(VLOOKUP($B25,'RA8-Water Management Structures'!$A$11:$BN$18,MATCH(Summary!AU$1,'RA8-Water Management Structures'!$A$9:$BN$9,1),FALSE),0)+IFERROR(VLOOKUP($B25,'RA9-Codisposal Upper'!$A$11:$BN$18,MATCH(Summary!AU$1,'RA9-Codisposal Upper'!$A$9:$BN$9,1),FALSE),0)+IFERROR(VLOOKUP($B25,'RA10-Codisposal Slopes'!$A$11:$BN$18,MATCH(Summary!AU$1,'RA10-Codisposal Slopes'!$A$9:$BN$9,1),FALSE),0)+IFERROR(VLOOKUP($B25,'IA1-Final Void inc Ramps'!$A$11:$BN$18,MATCH(Summary!AU$1,'IA1-Final Void inc Ramps'!$A$9:$BN$9,1),FALSE),0)</f>
        <v>171.56</v>
      </c>
      <c r="AV25" s="47">
        <f>IFERROR(VLOOKUP($B25,'RA1- Elevated Dumps Upper'!$A$11:$BN$18,MATCH(Summary!AV$1,'RA1- Elevated Dumps Upper'!$A$9:$BN$9,1),FALSE),0)+IFERROR(VLOOKUP($B25,'RA2-Elevated Dumps Slopes'!$A$11:$BN$18,MATCH(Summary!AV$1,'RA2-Elevated Dumps Slopes'!$A$9:$BN$9,1),FALSE),0)+IFERROR(VLOOKUP($B25,'RA3-Backfilled Pits'!$A$11:$BN$18,MATCH(Summary!AV$1,'RA3-Backfilled Pits'!$A$9:$BN$9,1),FALSE),0)+IFERROR(VLOOKUP($B25,'RA4-Tracks_Roads'!$A$11:$BN$18,MATCH(Summary!AV$1,'RA4-Tracks_Roads'!$A$9:$BN$9,1),FALSE),0)+IFERROR(VLOOKUP($B25,'RA5-ROM'!$A$11:$BN$18,MATCH(Summary!AV$1,'RA5-ROM'!$A$9:$BN$9,1),FALSE),0)+IFERROR(VLOOKUP($B25,'RA6-CHPP'!$A$11:$BN$18,MATCH(Summary!AV$1,'RA6-CHPP'!$A$9:$BN$9,1),FALSE),0)+IFERROR(VLOOKUP($B25,'RA7-Mine Infrastructure Area'!$A$11:$BN$18,MATCH(Summary!AV$1,'RA7-Mine Infrastructure Area'!$A$9:$BN$9,1),FALSE),0)+IFERROR(VLOOKUP($B25,'RA8-Water Management Structures'!$A$11:$BN$18,MATCH(Summary!AV$1,'RA8-Water Management Structures'!$A$9:$BN$9,1),FALSE),0)+IFERROR(VLOOKUP($B25,'RA9-Codisposal Upper'!$A$11:$BN$18,MATCH(Summary!AV$1,'RA9-Codisposal Upper'!$A$9:$BN$9,1),FALSE),0)+IFERROR(VLOOKUP($B25,'RA10-Codisposal Slopes'!$A$11:$BN$18,MATCH(Summary!AV$1,'RA10-Codisposal Slopes'!$A$9:$BN$9,1),FALSE),0)+IFERROR(VLOOKUP($B25,'IA1-Final Void inc Ramps'!$A$11:$BN$18,MATCH(Summary!AV$1,'IA1-Final Void inc Ramps'!$A$9:$BN$9,1),FALSE),0)</f>
        <v>171.56</v>
      </c>
      <c r="AW25" s="47">
        <f>IFERROR(VLOOKUP($B25,'RA1- Elevated Dumps Upper'!$A$11:$BN$18,MATCH(Summary!AW$1,'RA1- Elevated Dumps Upper'!$A$9:$BN$9,1),FALSE),0)+IFERROR(VLOOKUP($B25,'RA2-Elevated Dumps Slopes'!$A$11:$BN$18,MATCH(Summary!AW$1,'RA2-Elevated Dumps Slopes'!$A$9:$BN$9,1),FALSE),0)+IFERROR(VLOOKUP($B25,'RA3-Backfilled Pits'!$A$11:$BN$18,MATCH(Summary!AW$1,'RA3-Backfilled Pits'!$A$9:$BN$9,1),FALSE),0)+IFERROR(VLOOKUP($B25,'RA4-Tracks_Roads'!$A$11:$BN$18,MATCH(Summary!AW$1,'RA4-Tracks_Roads'!$A$9:$BN$9,1),FALSE),0)+IFERROR(VLOOKUP($B25,'RA5-ROM'!$A$11:$BN$18,MATCH(Summary!AW$1,'RA5-ROM'!$A$9:$BN$9,1),FALSE),0)+IFERROR(VLOOKUP($B25,'RA6-CHPP'!$A$11:$BN$18,MATCH(Summary!AW$1,'RA6-CHPP'!$A$9:$BN$9,1),FALSE),0)+IFERROR(VLOOKUP($B25,'RA7-Mine Infrastructure Area'!$A$11:$BN$18,MATCH(Summary!AW$1,'RA7-Mine Infrastructure Area'!$A$9:$BN$9,1),FALSE),0)+IFERROR(VLOOKUP($B25,'RA8-Water Management Structures'!$A$11:$BN$18,MATCH(Summary!AW$1,'RA8-Water Management Structures'!$A$9:$BN$9,1),FALSE),0)+IFERROR(VLOOKUP($B25,'RA9-Codisposal Upper'!$A$11:$BN$18,MATCH(Summary!AW$1,'RA9-Codisposal Upper'!$A$9:$BN$9,1),FALSE),0)+IFERROR(VLOOKUP($B25,'RA10-Codisposal Slopes'!$A$11:$BN$18,MATCH(Summary!AW$1,'RA10-Codisposal Slopes'!$A$9:$BN$9,1),FALSE),0)+IFERROR(VLOOKUP($B25,'IA1-Final Void inc Ramps'!$A$11:$BN$18,MATCH(Summary!AW$1,'IA1-Final Void inc Ramps'!$A$9:$BN$9,1),FALSE),0)</f>
        <v>171.56</v>
      </c>
      <c r="AX25" s="47">
        <f>IFERROR(VLOOKUP($B25,'RA1- Elevated Dumps Upper'!$A$11:$BN$18,MATCH(Summary!AX$1,'RA1- Elevated Dumps Upper'!$A$9:$BN$9,1),FALSE),0)+IFERROR(VLOOKUP($B25,'RA2-Elevated Dumps Slopes'!$A$11:$BN$18,MATCH(Summary!AX$1,'RA2-Elevated Dumps Slopes'!$A$9:$BN$9,1),FALSE),0)+IFERROR(VLOOKUP($B25,'RA3-Backfilled Pits'!$A$11:$BN$18,MATCH(Summary!AX$1,'RA3-Backfilled Pits'!$A$9:$BN$9,1),FALSE),0)+IFERROR(VLOOKUP($B25,'RA4-Tracks_Roads'!$A$11:$BN$18,MATCH(Summary!AX$1,'RA4-Tracks_Roads'!$A$9:$BN$9,1),FALSE),0)+IFERROR(VLOOKUP($B25,'RA5-ROM'!$A$11:$BN$18,MATCH(Summary!AX$1,'RA5-ROM'!$A$9:$BN$9,1),FALSE),0)+IFERROR(VLOOKUP($B25,'RA6-CHPP'!$A$11:$BN$18,MATCH(Summary!AX$1,'RA6-CHPP'!$A$9:$BN$9,1),FALSE),0)+IFERROR(VLOOKUP($B25,'RA7-Mine Infrastructure Area'!$A$11:$BN$18,MATCH(Summary!AX$1,'RA7-Mine Infrastructure Area'!$A$9:$BN$9,1),FALSE),0)+IFERROR(VLOOKUP($B25,'RA8-Water Management Structures'!$A$11:$BN$18,MATCH(Summary!AX$1,'RA8-Water Management Structures'!$A$9:$BN$9,1),FALSE),0)+IFERROR(VLOOKUP($B25,'RA9-Codisposal Upper'!$A$11:$BN$18,MATCH(Summary!AX$1,'RA9-Codisposal Upper'!$A$9:$BN$9,1),FALSE),0)+IFERROR(VLOOKUP($B25,'RA10-Codisposal Slopes'!$A$11:$BN$18,MATCH(Summary!AX$1,'RA10-Codisposal Slopes'!$A$9:$BN$9,1),FALSE),0)+IFERROR(VLOOKUP($B25,'IA1-Final Void inc Ramps'!$A$11:$BN$18,MATCH(Summary!AX$1,'IA1-Final Void inc Ramps'!$A$9:$BN$9,1),FALSE),0)</f>
        <v>171.56</v>
      </c>
      <c r="AY25" s="47">
        <f>IFERROR(VLOOKUP($B25,'RA1- Elevated Dumps Upper'!$A$11:$BN$18,MATCH(Summary!AY$1,'RA1- Elevated Dumps Upper'!$A$9:$BN$9,1),FALSE),0)+IFERROR(VLOOKUP($B25,'RA2-Elevated Dumps Slopes'!$A$11:$BN$18,MATCH(Summary!AY$1,'RA2-Elevated Dumps Slopes'!$A$9:$BN$9,1),FALSE),0)+IFERROR(VLOOKUP($B25,'RA3-Backfilled Pits'!$A$11:$BN$18,MATCH(Summary!AY$1,'RA3-Backfilled Pits'!$A$9:$BN$9,1),FALSE),0)+IFERROR(VLOOKUP($B25,'RA4-Tracks_Roads'!$A$11:$BN$18,MATCH(Summary!AY$1,'RA4-Tracks_Roads'!$A$9:$BN$9,1),FALSE),0)+IFERROR(VLOOKUP($B25,'RA5-ROM'!$A$11:$BN$18,MATCH(Summary!AY$1,'RA5-ROM'!$A$9:$BN$9,1),FALSE),0)+IFERROR(VLOOKUP($B25,'RA6-CHPP'!$A$11:$BN$18,MATCH(Summary!AY$1,'RA6-CHPP'!$A$9:$BN$9,1),FALSE),0)+IFERROR(VLOOKUP($B25,'RA7-Mine Infrastructure Area'!$A$11:$BN$18,MATCH(Summary!AY$1,'RA7-Mine Infrastructure Area'!$A$9:$BN$9,1),FALSE),0)+IFERROR(VLOOKUP($B25,'RA8-Water Management Structures'!$A$11:$BN$18,MATCH(Summary!AY$1,'RA8-Water Management Structures'!$A$9:$BN$9,1),FALSE),0)+IFERROR(VLOOKUP($B25,'RA9-Codisposal Upper'!$A$11:$BN$18,MATCH(Summary!AY$1,'RA9-Codisposal Upper'!$A$9:$BN$9,1),FALSE),0)+IFERROR(VLOOKUP($B25,'RA10-Codisposal Slopes'!$A$11:$BN$18,MATCH(Summary!AY$1,'RA10-Codisposal Slopes'!$A$9:$BN$9,1),FALSE),0)+IFERROR(VLOOKUP($B25,'IA1-Final Void inc Ramps'!$A$11:$BN$18,MATCH(Summary!AY$1,'IA1-Final Void inc Ramps'!$A$9:$BN$9,1),FALSE),0)</f>
        <v>171.56</v>
      </c>
      <c r="AZ25" s="47">
        <f>IFERROR(VLOOKUP($B25,'RA1- Elevated Dumps Upper'!$A$11:$BN$18,MATCH(Summary!AZ$1,'RA1- Elevated Dumps Upper'!$A$9:$BN$9,1),FALSE),0)+IFERROR(VLOOKUP($B25,'RA2-Elevated Dumps Slopes'!$A$11:$BN$18,MATCH(Summary!AZ$1,'RA2-Elevated Dumps Slopes'!$A$9:$BN$9,1),FALSE),0)+IFERROR(VLOOKUP($B25,'RA3-Backfilled Pits'!$A$11:$BN$18,MATCH(Summary!AZ$1,'RA3-Backfilled Pits'!$A$9:$BN$9,1),FALSE),0)+IFERROR(VLOOKUP($B25,'RA4-Tracks_Roads'!$A$11:$BN$18,MATCH(Summary!AZ$1,'RA4-Tracks_Roads'!$A$9:$BN$9,1),FALSE),0)+IFERROR(VLOOKUP($B25,'RA5-ROM'!$A$11:$BN$18,MATCH(Summary!AZ$1,'RA5-ROM'!$A$9:$BN$9,1),FALSE),0)+IFERROR(VLOOKUP($B25,'RA6-CHPP'!$A$11:$BN$18,MATCH(Summary!AZ$1,'RA6-CHPP'!$A$9:$BN$9,1),FALSE),0)+IFERROR(VLOOKUP($B25,'RA7-Mine Infrastructure Area'!$A$11:$BN$18,MATCH(Summary!AZ$1,'RA7-Mine Infrastructure Area'!$A$9:$BN$9,1),FALSE),0)+IFERROR(VLOOKUP($B25,'RA8-Water Management Structures'!$A$11:$BN$18,MATCH(Summary!AZ$1,'RA8-Water Management Structures'!$A$9:$BN$9,1),FALSE),0)+IFERROR(VLOOKUP($B25,'RA9-Codisposal Upper'!$A$11:$BN$18,MATCH(Summary!AZ$1,'RA9-Codisposal Upper'!$A$9:$BN$9,1),FALSE),0)+IFERROR(VLOOKUP($B25,'RA10-Codisposal Slopes'!$A$11:$BN$18,MATCH(Summary!AZ$1,'RA10-Codisposal Slopes'!$A$9:$BN$9,1),FALSE),0)+IFERROR(VLOOKUP($B25,'IA1-Final Void inc Ramps'!$A$11:$BN$18,MATCH(Summary!AZ$1,'IA1-Final Void inc Ramps'!$A$9:$BN$9,1),FALSE),0)</f>
        <v>171.56</v>
      </c>
      <c r="BA25" s="47">
        <f>IFERROR(VLOOKUP($B25,'RA1- Elevated Dumps Upper'!$A$11:$BN$18,MATCH(Summary!BA$1,'RA1- Elevated Dumps Upper'!$A$9:$BN$9,1),FALSE),0)+IFERROR(VLOOKUP($B25,'RA2-Elevated Dumps Slopes'!$A$11:$BN$18,MATCH(Summary!BA$1,'RA2-Elevated Dumps Slopes'!$A$9:$BN$9,1),FALSE),0)+IFERROR(VLOOKUP($B25,'RA3-Backfilled Pits'!$A$11:$BN$18,MATCH(Summary!BA$1,'RA3-Backfilled Pits'!$A$9:$BN$9,1),FALSE),0)+IFERROR(VLOOKUP($B25,'RA4-Tracks_Roads'!$A$11:$BN$18,MATCH(Summary!BA$1,'RA4-Tracks_Roads'!$A$9:$BN$9,1),FALSE),0)+IFERROR(VLOOKUP($B25,'RA5-ROM'!$A$11:$BN$18,MATCH(Summary!BA$1,'RA5-ROM'!$A$9:$BN$9,1),FALSE),0)+IFERROR(VLOOKUP($B25,'RA6-CHPP'!$A$11:$BN$18,MATCH(Summary!BA$1,'RA6-CHPP'!$A$9:$BN$9,1),FALSE),0)+IFERROR(VLOOKUP($B25,'RA7-Mine Infrastructure Area'!$A$11:$BN$18,MATCH(Summary!BA$1,'RA7-Mine Infrastructure Area'!$A$9:$BN$9,1),FALSE),0)+IFERROR(VLOOKUP($B25,'RA8-Water Management Structures'!$A$11:$BN$18,MATCH(Summary!BA$1,'RA8-Water Management Structures'!$A$9:$BN$9,1),FALSE),0)+IFERROR(VLOOKUP($B25,'RA9-Codisposal Upper'!$A$11:$BN$18,MATCH(Summary!BA$1,'RA9-Codisposal Upper'!$A$9:$BN$9,1),FALSE),0)+IFERROR(VLOOKUP($B25,'RA10-Codisposal Slopes'!$A$11:$BN$18,MATCH(Summary!BA$1,'RA10-Codisposal Slopes'!$A$9:$BN$9,1),FALSE),0)+IFERROR(VLOOKUP($B25,'IA1-Final Void inc Ramps'!$A$11:$BN$18,MATCH(Summary!BA$1,'IA1-Final Void inc Ramps'!$A$9:$BN$9,1),FALSE),0)</f>
        <v>171.56</v>
      </c>
      <c r="BB25" s="47">
        <f>IFERROR(VLOOKUP($B25,'RA1- Elevated Dumps Upper'!$A$11:$BN$18,MATCH(Summary!BB$1,'RA1- Elevated Dumps Upper'!$A$9:$BN$9,1),FALSE),0)+IFERROR(VLOOKUP($B25,'RA2-Elevated Dumps Slopes'!$A$11:$BN$18,MATCH(Summary!BB$1,'RA2-Elevated Dumps Slopes'!$A$9:$BN$9,1),FALSE),0)+IFERROR(VLOOKUP($B25,'RA3-Backfilled Pits'!$A$11:$BN$18,MATCH(Summary!BB$1,'RA3-Backfilled Pits'!$A$9:$BN$9,1),FALSE),0)+IFERROR(VLOOKUP($B25,'RA4-Tracks_Roads'!$A$11:$BN$18,MATCH(Summary!BB$1,'RA4-Tracks_Roads'!$A$9:$BN$9,1),FALSE),0)+IFERROR(VLOOKUP($B25,'RA5-ROM'!$A$11:$BN$18,MATCH(Summary!BB$1,'RA5-ROM'!$A$9:$BN$9,1),FALSE),0)+IFERROR(VLOOKUP($B25,'RA6-CHPP'!$A$11:$BN$18,MATCH(Summary!BB$1,'RA6-CHPP'!$A$9:$BN$9,1),FALSE),0)+IFERROR(VLOOKUP($B25,'RA7-Mine Infrastructure Area'!$A$11:$BN$18,MATCH(Summary!BB$1,'RA7-Mine Infrastructure Area'!$A$9:$BN$9,1),FALSE),0)+IFERROR(VLOOKUP($B25,'RA8-Water Management Structures'!$A$11:$BN$18,MATCH(Summary!BB$1,'RA8-Water Management Structures'!$A$9:$BN$9,1),FALSE),0)+IFERROR(VLOOKUP($B25,'RA9-Codisposal Upper'!$A$11:$BN$18,MATCH(Summary!BB$1,'RA9-Codisposal Upper'!$A$9:$BN$9,1),FALSE),0)+IFERROR(VLOOKUP($B25,'RA10-Codisposal Slopes'!$A$11:$BN$18,MATCH(Summary!BB$1,'RA10-Codisposal Slopes'!$A$9:$BN$9,1),FALSE),0)+IFERROR(VLOOKUP($B25,'IA1-Final Void inc Ramps'!$A$11:$BN$18,MATCH(Summary!BB$1,'IA1-Final Void inc Ramps'!$A$9:$BN$9,1),FALSE),0)</f>
        <v>171.56</v>
      </c>
      <c r="BC25" s="47">
        <f>IFERROR(VLOOKUP($B25,'RA1- Elevated Dumps Upper'!$A$11:$BN$18,MATCH(Summary!BC$1,'RA1- Elevated Dumps Upper'!$A$9:$BN$9,1),FALSE),0)+IFERROR(VLOOKUP($B25,'RA2-Elevated Dumps Slopes'!$A$11:$BN$18,MATCH(Summary!BC$1,'RA2-Elevated Dumps Slopes'!$A$9:$BN$9,1),FALSE),0)+IFERROR(VLOOKUP($B25,'RA3-Backfilled Pits'!$A$11:$BN$18,MATCH(Summary!BC$1,'RA3-Backfilled Pits'!$A$9:$BN$9,1),FALSE),0)+IFERROR(VLOOKUP($B25,'RA4-Tracks_Roads'!$A$11:$BN$18,MATCH(Summary!BC$1,'RA4-Tracks_Roads'!$A$9:$BN$9,1),FALSE),0)+IFERROR(VLOOKUP($B25,'RA5-ROM'!$A$11:$BN$18,MATCH(Summary!BC$1,'RA5-ROM'!$A$9:$BN$9,1),FALSE),0)+IFERROR(VLOOKUP($B25,'RA6-CHPP'!$A$11:$BN$18,MATCH(Summary!BC$1,'RA6-CHPP'!$A$9:$BN$9,1),FALSE),0)+IFERROR(VLOOKUP($B25,'RA7-Mine Infrastructure Area'!$A$11:$BN$18,MATCH(Summary!BC$1,'RA7-Mine Infrastructure Area'!$A$9:$BN$9,1),FALSE),0)+IFERROR(VLOOKUP($B25,'RA8-Water Management Structures'!$A$11:$BN$18,MATCH(Summary!BC$1,'RA8-Water Management Structures'!$A$9:$BN$9,1),FALSE),0)+IFERROR(VLOOKUP($B25,'RA9-Codisposal Upper'!$A$11:$BN$18,MATCH(Summary!BC$1,'RA9-Codisposal Upper'!$A$9:$BN$9,1),FALSE),0)+IFERROR(VLOOKUP($B25,'RA10-Codisposal Slopes'!$A$11:$BN$18,MATCH(Summary!BC$1,'RA10-Codisposal Slopes'!$A$9:$BN$9,1),FALSE),0)+IFERROR(VLOOKUP($B25,'IA1-Final Void inc Ramps'!$A$11:$BN$18,MATCH(Summary!BC$1,'IA1-Final Void inc Ramps'!$A$9:$BN$9,1),FALSE),0)</f>
        <v>171.56</v>
      </c>
      <c r="BD25" s="47">
        <f>IFERROR(VLOOKUP($B25,'RA1- Elevated Dumps Upper'!$A$11:$BN$18,MATCH(Summary!BD$1,'RA1- Elevated Dumps Upper'!$A$9:$BN$9,1),FALSE),0)+IFERROR(VLOOKUP($B25,'RA2-Elevated Dumps Slopes'!$A$11:$BN$18,MATCH(Summary!BD$1,'RA2-Elevated Dumps Slopes'!$A$9:$BN$9,1),FALSE),0)+IFERROR(VLOOKUP($B25,'RA3-Backfilled Pits'!$A$11:$BN$18,MATCH(Summary!BD$1,'RA3-Backfilled Pits'!$A$9:$BN$9,1),FALSE),0)+IFERROR(VLOOKUP($B25,'RA4-Tracks_Roads'!$A$11:$BN$18,MATCH(Summary!BD$1,'RA4-Tracks_Roads'!$A$9:$BN$9,1),FALSE),0)+IFERROR(VLOOKUP($B25,'RA5-ROM'!$A$11:$BN$18,MATCH(Summary!BD$1,'RA5-ROM'!$A$9:$BN$9,1),FALSE),0)+IFERROR(VLOOKUP($B25,'RA6-CHPP'!$A$11:$BN$18,MATCH(Summary!BD$1,'RA6-CHPP'!$A$9:$BN$9,1),FALSE),0)+IFERROR(VLOOKUP($B25,'RA7-Mine Infrastructure Area'!$A$11:$BN$18,MATCH(Summary!BD$1,'RA7-Mine Infrastructure Area'!$A$9:$BN$9,1),FALSE),0)+IFERROR(VLOOKUP($B25,'RA8-Water Management Structures'!$A$11:$BN$18,MATCH(Summary!BD$1,'RA8-Water Management Structures'!$A$9:$BN$9,1),FALSE),0)+IFERROR(VLOOKUP($B25,'RA9-Codisposal Upper'!$A$11:$BN$18,MATCH(Summary!BD$1,'RA9-Codisposal Upper'!$A$9:$BN$9,1),FALSE),0)+IFERROR(VLOOKUP($B25,'RA10-Codisposal Slopes'!$A$11:$BN$18,MATCH(Summary!BD$1,'RA10-Codisposal Slopes'!$A$9:$BN$9,1),FALSE),0)+IFERROR(VLOOKUP($B25,'IA1-Final Void inc Ramps'!$A$11:$BN$18,MATCH(Summary!BD$1,'IA1-Final Void inc Ramps'!$A$9:$BN$9,1),FALSE),0)</f>
        <v>171.56</v>
      </c>
      <c r="BE25" s="47">
        <f>IFERROR(VLOOKUP($B25,'RA1- Elevated Dumps Upper'!$A$11:$BN$18,MATCH(Summary!BE$1,'RA1- Elevated Dumps Upper'!$A$9:$BN$9,1),FALSE),0)+IFERROR(VLOOKUP($B25,'RA2-Elevated Dumps Slopes'!$A$11:$BN$18,MATCH(Summary!BE$1,'RA2-Elevated Dumps Slopes'!$A$9:$BN$9,1),FALSE),0)+IFERROR(VLOOKUP($B25,'RA3-Backfilled Pits'!$A$11:$BN$18,MATCH(Summary!BE$1,'RA3-Backfilled Pits'!$A$9:$BN$9,1),FALSE),0)+IFERROR(VLOOKUP($B25,'RA4-Tracks_Roads'!$A$11:$BN$18,MATCH(Summary!BE$1,'RA4-Tracks_Roads'!$A$9:$BN$9,1),FALSE),0)+IFERROR(VLOOKUP($B25,'RA5-ROM'!$A$11:$BN$18,MATCH(Summary!BE$1,'RA5-ROM'!$A$9:$BN$9,1),FALSE),0)+IFERROR(VLOOKUP($B25,'RA6-CHPP'!$A$11:$BN$18,MATCH(Summary!BE$1,'RA6-CHPP'!$A$9:$BN$9,1),FALSE),0)+IFERROR(VLOOKUP($B25,'RA7-Mine Infrastructure Area'!$A$11:$BN$18,MATCH(Summary!BE$1,'RA7-Mine Infrastructure Area'!$A$9:$BN$9,1),FALSE),0)+IFERROR(VLOOKUP($B25,'RA8-Water Management Structures'!$A$11:$BN$18,MATCH(Summary!BE$1,'RA8-Water Management Structures'!$A$9:$BN$9,1),FALSE),0)+IFERROR(VLOOKUP($B25,'RA9-Codisposal Upper'!$A$11:$BN$18,MATCH(Summary!BE$1,'RA9-Codisposal Upper'!$A$9:$BN$9,1),FALSE),0)+IFERROR(VLOOKUP($B25,'RA10-Codisposal Slopes'!$A$11:$BN$18,MATCH(Summary!BE$1,'RA10-Codisposal Slopes'!$A$9:$BN$9,1),FALSE),0)+IFERROR(VLOOKUP($B25,'IA1-Final Void inc Ramps'!$A$11:$BN$18,MATCH(Summary!BE$1,'IA1-Final Void inc Ramps'!$A$9:$BN$9,1),FALSE),0)</f>
        <v>171.56</v>
      </c>
      <c r="BF25" s="47">
        <f>IFERROR(VLOOKUP($B25,'RA1- Elevated Dumps Upper'!$A$11:$BN$18,MATCH(Summary!BF$1,'RA1- Elevated Dumps Upper'!$A$9:$BN$9,1),FALSE),0)+IFERROR(VLOOKUP($B25,'RA2-Elevated Dumps Slopes'!$A$11:$BN$18,MATCH(Summary!BF$1,'RA2-Elevated Dumps Slopes'!$A$9:$BN$9,1),FALSE),0)+IFERROR(VLOOKUP($B25,'RA3-Backfilled Pits'!$A$11:$BN$18,MATCH(Summary!BF$1,'RA3-Backfilled Pits'!$A$9:$BN$9,1),FALSE),0)+IFERROR(VLOOKUP($B25,'RA4-Tracks_Roads'!$A$11:$BN$18,MATCH(Summary!BF$1,'RA4-Tracks_Roads'!$A$9:$BN$9,1),FALSE),0)+IFERROR(VLOOKUP($B25,'RA5-ROM'!$A$11:$BN$18,MATCH(Summary!BF$1,'RA5-ROM'!$A$9:$BN$9,1),FALSE),0)+IFERROR(VLOOKUP($B25,'RA6-CHPP'!$A$11:$BN$18,MATCH(Summary!BF$1,'RA6-CHPP'!$A$9:$BN$9,1),FALSE),0)+IFERROR(VLOOKUP($B25,'RA7-Mine Infrastructure Area'!$A$11:$BN$18,MATCH(Summary!BF$1,'RA7-Mine Infrastructure Area'!$A$9:$BN$9,1),FALSE),0)+IFERROR(VLOOKUP($B25,'RA8-Water Management Structures'!$A$11:$BN$18,MATCH(Summary!BF$1,'RA8-Water Management Structures'!$A$9:$BN$9,1),FALSE),0)+IFERROR(VLOOKUP($B25,'RA9-Codisposal Upper'!$A$11:$BN$18,MATCH(Summary!BF$1,'RA9-Codisposal Upper'!$A$9:$BN$9,1),FALSE),0)+IFERROR(VLOOKUP($B25,'RA10-Codisposal Slopes'!$A$11:$BN$18,MATCH(Summary!BF$1,'RA10-Codisposal Slopes'!$A$9:$BN$9,1),FALSE),0)+IFERROR(VLOOKUP($B25,'IA1-Final Void inc Ramps'!$A$11:$BN$18,MATCH(Summary!BF$1,'IA1-Final Void inc Ramps'!$A$9:$BN$9,1),FALSE),0)</f>
        <v>171.56</v>
      </c>
      <c r="BG25" s="47">
        <f>IFERROR(VLOOKUP($B25,'RA1- Elevated Dumps Upper'!$A$11:$BN$18,MATCH(Summary!BG$1,'RA1- Elevated Dumps Upper'!$A$9:$BN$9,1),FALSE),0)+IFERROR(VLOOKUP($B25,'RA2-Elevated Dumps Slopes'!$A$11:$BN$18,MATCH(Summary!BG$1,'RA2-Elevated Dumps Slopes'!$A$9:$BN$9,1),FALSE),0)+IFERROR(VLOOKUP($B25,'RA3-Backfilled Pits'!$A$11:$BN$18,MATCH(Summary!BG$1,'RA3-Backfilled Pits'!$A$9:$BN$9,1),FALSE),0)+IFERROR(VLOOKUP($B25,'RA4-Tracks_Roads'!$A$11:$BN$18,MATCH(Summary!BG$1,'RA4-Tracks_Roads'!$A$9:$BN$9,1),FALSE),0)+IFERROR(VLOOKUP($B25,'RA5-ROM'!$A$11:$BN$18,MATCH(Summary!BG$1,'RA5-ROM'!$A$9:$BN$9,1),FALSE),0)+IFERROR(VLOOKUP($B25,'RA6-CHPP'!$A$11:$BN$18,MATCH(Summary!BG$1,'RA6-CHPP'!$A$9:$BN$9,1),FALSE),0)+IFERROR(VLOOKUP($B25,'RA7-Mine Infrastructure Area'!$A$11:$BN$18,MATCH(Summary!BG$1,'RA7-Mine Infrastructure Area'!$A$9:$BN$9,1),FALSE),0)+IFERROR(VLOOKUP($B25,'RA8-Water Management Structures'!$A$11:$BN$18,MATCH(Summary!BG$1,'RA8-Water Management Structures'!$A$9:$BN$9,1),FALSE),0)+IFERROR(VLOOKUP($B25,'RA9-Codisposal Upper'!$A$11:$BN$18,MATCH(Summary!BG$1,'RA9-Codisposal Upper'!$A$9:$BN$9,1),FALSE),0)+IFERROR(VLOOKUP($B25,'RA10-Codisposal Slopes'!$A$11:$BN$18,MATCH(Summary!BG$1,'RA10-Codisposal Slopes'!$A$9:$BN$9,1),FALSE),0)+IFERROR(VLOOKUP($B25,'IA1-Final Void inc Ramps'!$A$11:$BN$18,MATCH(Summary!BG$1,'IA1-Final Void inc Ramps'!$A$9:$BN$9,1),FALSE),0)</f>
        <v>171.56</v>
      </c>
      <c r="BH25" s="47">
        <f>IFERROR(VLOOKUP($B25,'RA1- Elevated Dumps Upper'!$A$11:$BN$18,MATCH(Summary!BH$1,'RA1- Elevated Dumps Upper'!$A$9:$BN$9,1),FALSE),0)+IFERROR(VLOOKUP($B25,'RA2-Elevated Dumps Slopes'!$A$11:$BN$18,MATCH(Summary!BH$1,'RA2-Elevated Dumps Slopes'!$A$9:$BN$9,1),FALSE),0)+IFERROR(VLOOKUP($B25,'RA3-Backfilled Pits'!$A$11:$BN$18,MATCH(Summary!BH$1,'RA3-Backfilled Pits'!$A$9:$BN$9,1),FALSE),0)+IFERROR(VLOOKUP($B25,'RA4-Tracks_Roads'!$A$11:$BN$18,MATCH(Summary!BH$1,'RA4-Tracks_Roads'!$A$9:$BN$9,1),FALSE),0)+IFERROR(VLOOKUP($B25,'RA5-ROM'!$A$11:$BN$18,MATCH(Summary!BH$1,'RA5-ROM'!$A$9:$BN$9,1),FALSE),0)+IFERROR(VLOOKUP($B25,'RA6-CHPP'!$A$11:$BN$18,MATCH(Summary!BH$1,'RA6-CHPP'!$A$9:$BN$9,1),FALSE),0)+IFERROR(VLOOKUP($B25,'RA7-Mine Infrastructure Area'!$A$11:$BN$18,MATCH(Summary!BH$1,'RA7-Mine Infrastructure Area'!$A$9:$BN$9,1),FALSE),0)+IFERROR(VLOOKUP($B25,'RA8-Water Management Structures'!$A$11:$BN$18,MATCH(Summary!BH$1,'RA8-Water Management Structures'!$A$9:$BN$9,1),FALSE),0)+IFERROR(VLOOKUP($B25,'RA9-Codisposal Upper'!$A$11:$BN$18,MATCH(Summary!BH$1,'RA9-Codisposal Upper'!$A$9:$BN$9,1),FALSE),0)+IFERROR(VLOOKUP($B25,'RA10-Codisposal Slopes'!$A$11:$BN$18,MATCH(Summary!BH$1,'RA10-Codisposal Slopes'!$A$9:$BN$9,1),FALSE),0)+IFERROR(VLOOKUP($B25,'IA1-Final Void inc Ramps'!$A$11:$BN$18,MATCH(Summary!BH$1,'IA1-Final Void inc Ramps'!$A$9:$BN$9,1),FALSE),0)</f>
        <v>171.56</v>
      </c>
      <c r="BI25" s="47">
        <f>IFERROR(VLOOKUP($B25,'RA1- Elevated Dumps Upper'!$A$11:$BN$18,MATCH(Summary!BI$1,'RA1- Elevated Dumps Upper'!$A$9:$BN$9,1),FALSE),0)+IFERROR(VLOOKUP($B25,'RA2-Elevated Dumps Slopes'!$A$11:$BN$18,MATCH(Summary!BI$1,'RA2-Elevated Dumps Slopes'!$A$9:$BN$9,1),FALSE),0)+IFERROR(VLOOKUP($B25,'RA3-Backfilled Pits'!$A$11:$BN$18,MATCH(Summary!BI$1,'RA3-Backfilled Pits'!$A$9:$BN$9,1),FALSE),0)+IFERROR(VLOOKUP($B25,'RA4-Tracks_Roads'!$A$11:$BN$18,MATCH(Summary!BI$1,'RA4-Tracks_Roads'!$A$9:$BN$9,1),FALSE),0)+IFERROR(VLOOKUP($B25,'RA5-ROM'!$A$11:$BN$18,MATCH(Summary!BI$1,'RA5-ROM'!$A$9:$BN$9,1),FALSE),0)+IFERROR(VLOOKUP($B25,'RA6-CHPP'!$A$11:$BN$18,MATCH(Summary!BI$1,'RA6-CHPP'!$A$9:$BN$9,1),FALSE),0)+IFERROR(VLOOKUP($B25,'RA7-Mine Infrastructure Area'!$A$11:$BN$18,MATCH(Summary!BI$1,'RA7-Mine Infrastructure Area'!$A$9:$BN$9,1),FALSE),0)+IFERROR(VLOOKUP($B25,'RA8-Water Management Structures'!$A$11:$BN$18,MATCH(Summary!BI$1,'RA8-Water Management Structures'!$A$9:$BN$9,1),FALSE),0)+IFERROR(VLOOKUP($B25,'RA9-Codisposal Upper'!$A$11:$BN$18,MATCH(Summary!BI$1,'RA9-Codisposal Upper'!$A$9:$BN$9,1),FALSE),0)+IFERROR(VLOOKUP($B25,'RA10-Codisposal Slopes'!$A$11:$BN$18,MATCH(Summary!BI$1,'RA10-Codisposal Slopes'!$A$9:$BN$9,1),FALSE),0)+IFERROR(VLOOKUP($B25,'IA1-Final Void inc Ramps'!$A$11:$BN$18,MATCH(Summary!BI$1,'IA1-Final Void inc Ramps'!$A$9:$BN$9,1),FALSE),0)</f>
        <v>171.56</v>
      </c>
      <c r="BJ25" s="47">
        <f>IFERROR(VLOOKUP($B25,'RA1- Elevated Dumps Upper'!$A$11:$BN$18,MATCH(Summary!BJ$1,'RA1- Elevated Dumps Upper'!$A$9:$BN$9,1),FALSE),0)+IFERROR(VLOOKUP($B25,'RA2-Elevated Dumps Slopes'!$A$11:$BN$18,MATCH(Summary!BJ$1,'RA2-Elevated Dumps Slopes'!$A$9:$BN$9,1),FALSE),0)+IFERROR(VLOOKUP($B25,'RA3-Backfilled Pits'!$A$11:$BN$18,MATCH(Summary!BJ$1,'RA3-Backfilled Pits'!$A$9:$BN$9,1),FALSE),0)+IFERROR(VLOOKUP($B25,'RA4-Tracks_Roads'!$A$11:$BN$18,MATCH(Summary!BJ$1,'RA4-Tracks_Roads'!$A$9:$BN$9,1),FALSE),0)+IFERROR(VLOOKUP($B25,'RA5-ROM'!$A$11:$BN$18,MATCH(Summary!BJ$1,'RA5-ROM'!$A$9:$BN$9,1),FALSE),0)+IFERROR(VLOOKUP($B25,'RA6-CHPP'!$A$11:$BN$18,MATCH(Summary!BJ$1,'RA6-CHPP'!$A$9:$BN$9,1),FALSE),0)+IFERROR(VLOOKUP($B25,'RA7-Mine Infrastructure Area'!$A$11:$BN$18,MATCH(Summary!BJ$1,'RA7-Mine Infrastructure Area'!$A$9:$BN$9,1),FALSE),0)+IFERROR(VLOOKUP($B25,'RA8-Water Management Structures'!$A$11:$BN$18,MATCH(Summary!BJ$1,'RA8-Water Management Structures'!$A$9:$BN$9,1),FALSE),0)+IFERROR(VLOOKUP($B25,'RA9-Codisposal Upper'!$A$11:$BN$18,MATCH(Summary!BJ$1,'RA9-Codisposal Upper'!$A$9:$BN$9,1),FALSE),0)+IFERROR(VLOOKUP($B25,'RA10-Codisposal Slopes'!$A$11:$BN$18,MATCH(Summary!BJ$1,'RA10-Codisposal Slopes'!$A$9:$BN$9,1),FALSE),0)+IFERROR(VLOOKUP($B25,'IA1-Final Void inc Ramps'!$A$11:$BN$18,MATCH(Summary!BJ$1,'IA1-Final Void inc Ramps'!$A$9:$BN$9,1),FALSE),0)</f>
        <v>171.56</v>
      </c>
      <c r="BK25" s="47">
        <f>IFERROR(VLOOKUP($B25,'RA1- Elevated Dumps Upper'!$A$11:$BN$18,MATCH(Summary!BK$1,'RA1- Elevated Dumps Upper'!$A$9:$BN$9,1),FALSE),0)+IFERROR(VLOOKUP($B25,'RA2-Elevated Dumps Slopes'!$A$11:$BN$18,MATCH(Summary!BK$1,'RA2-Elevated Dumps Slopes'!$A$9:$BN$9,1),FALSE),0)+IFERROR(VLOOKUP($B25,'RA3-Backfilled Pits'!$A$11:$BN$18,MATCH(Summary!BK$1,'RA3-Backfilled Pits'!$A$9:$BN$9,1),FALSE),0)+IFERROR(VLOOKUP($B25,'RA4-Tracks_Roads'!$A$11:$BN$18,MATCH(Summary!BK$1,'RA4-Tracks_Roads'!$A$9:$BN$9,1),FALSE),0)+IFERROR(VLOOKUP($B25,'RA5-ROM'!$A$11:$BN$18,MATCH(Summary!BK$1,'RA5-ROM'!$A$9:$BN$9,1),FALSE),0)+IFERROR(VLOOKUP($B25,'RA6-CHPP'!$A$11:$BN$18,MATCH(Summary!BK$1,'RA6-CHPP'!$A$9:$BN$9,1),FALSE),0)+IFERROR(VLOOKUP($B25,'RA7-Mine Infrastructure Area'!$A$11:$BN$18,MATCH(Summary!BK$1,'RA7-Mine Infrastructure Area'!$A$9:$BN$9,1),FALSE),0)+IFERROR(VLOOKUP($B25,'RA8-Water Management Structures'!$A$11:$BN$18,MATCH(Summary!BK$1,'RA8-Water Management Structures'!$A$9:$BN$9,1),FALSE),0)+IFERROR(VLOOKUP($B25,'RA9-Codisposal Upper'!$A$11:$BN$18,MATCH(Summary!BK$1,'RA9-Codisposal Upper'!$A$9:$BN$9,1),FALSE),0)+IFERROR(VLOOKUP($B25,'RA10-Codisposal Slopes'!$A$11:$BN$18,MATCH(Summary!BK$1,'RA10-Codisposal Slopes'!$A$9:$BN$9,1),FALSE),0)+IFERROR(VLOOKUP($B25,'IA1-Final Void inc Ramps'!$A$11:$BN$18,MATCH(Summary!BK$1,'IA1-Final Void inc Ramps'!$A$9:$BN$9,1),FALSE),0)</f>
        <v>171.56</v>
      </c>
      <c r="BL25" s="47">
        <f>IFERROR(VLOOKUP($B25,'RA1- Elevated Dumps Upper'!$A$11:$BN$18,MATCH(Summary!BL$1,'RA1- Elevated Dumps Upper'!$A$9:$BN$9,1),FALSE),0)+IFERROR(VLOOKUP($B25,'RA2-Elevated Dumps Slopes'!$A$11:$BN$18,MATCH(Summary!BL$1,'RA2-Elevated Dumps Slopes'!$A$9:$BN$9,1),FALSE),0)+IFERROR(VLOOKUP($B25,'RA3-Backfilled Pits'!$A$11:$BN$18,MATCH(Summary!BL$1,'RA3-Backfilled Pits'!$A$9:$BN$9,1),FALSE),0)+IFERROR(VLOOKUP($B25,'RA4-Tracks_Roads'!$A$11:$BN$18,MATCH(Summary!BL$1,'RA4-Tracks_Roads'!$A$9:$BN$9,1),FALSE),0)+IFERROR(VLOOKUP($B25,'RA5-ROM'!$A$11:$BN$18,MATCH(Summary!BL$1,'RA5-ROM'!$A$9:$BN$9,1),FALSE),0)+IFERROR(VLOOKUP($B25,'RA6-CHPP'!$A$11:$BN$18,MATCH(Summary!BL$1,'RA6-CHPP'!$A$9:$BN$9,1),FALSE),0)+IFERROR(VLOOKUP($B25,'RA7-Mine Infrastructure Area'!$A$11:$BN$18,MATCH(Summary!BL$1,'RA7-Mine Infrastructure Area'!$A$9:$BN$9,1),FALSE),0)+IFERROR(VLOOKUP($B25,'RA8-Water Management Structures'!$A$11:$BN$18,MATCH(Summary!BL$1,'RA8-Water Management Structures'!$A$9:$BN$9,1),FALSE),0)+IFERROR(VLOOKUP($B25,'RA9-Codisposal Upper'!$A$11:$BN$18,MATCH(Summary!BL$1,'RA9-Codisposal Upper'!$A$9:$BN$9,1),FALSE),0)+IFERROR(VLOOKUP($B25,'RA10-Codisposal Slopes'!$A$11:$BN$18,MATCH(Summary!BL$1,'RA10-Codisposal Slopes'!$A$9:$BN$9,1),FALSE),0)+IFERROR(VLOOKUP($B25,'IA1-Final Void inc Ramps'!$A$11:$BN$18,MATCH(Summary!BL$1,'IA1-Final Void inc Ramps'!$A$9:$BN$9,1),FALSE),0)</f>
        <v>171.56</v>
      </c>
      <c r="BM25" s="47">
        <f>IFERROR(VLOOKUP($B25,'RA1- Elevated Dumps Upper'!$A$11:$BN$18,MATCH(Summary!BM$1,'RA1- Elevated Dumps Upper'!$A$9:$BN$9,1),FALSE),0)+IFERROR(VLOOKUP($B25,'RA2-Elevated Dumps Slopes'!$A$11:$BN$18,MATCH(Summary!BM$1,'RA2-Elevated Dumps Slopes'!$A$9:$BN$9,1),FALSE),0)+IFERROR(VLOOKUP($B25,'RA3-Backfilled Pits'!$A$11:$BN$18,MATCH(Summary!BM$1,'RA3-Backfilled Pits'!$A$9:$BN$9,1),FALSE),0)+IFERROR(VLOOKUP($B25,'RA4-Tracks_Roads'!$A$11:$BN$18,MATCH(Summary!BM$1,'RA4-Tracks_Roads'!$A$9:$BN$9,1),FALSE),0)+IFERROR(VLOOKUP($B25,'RA5-ROM'!$A$11:$BN$18,MATCH(Summary!BM$1,'RA5-ROM'!$A$9:$BN$9,1),FALSE),0)+IFERROR(VLOOKUP($B25,'RA6-CHPP'!$A$11:$BN$18,MATCH(Summary!BM$1,'RA6-CHPP'!$A$9:$BN$9,1),FALSE),0)+IFERROR(VLOOKUP($B25,'RA7-Mine Infrastructure Area'!$A$11:$BN$18,MATCH(Summary!BM$1,'RA7-Mine Infrastructure Area'!$A$9:$BN$9,1),FALSE),0)+IFERROR(VLOOKUP($B25,'RA8-Water Management Structures'!$A$11:$BN$18,MATCH(Summary!BM$1,'RA8-Water Management Structures'!$A$9:$BN$9,1),FALSE),0)+IFERROR(VLOOKUP($B25,'RA9-Codisposal Upper'!$A$11:$BN$18,MATCH(Summary!BM$1,'RA9-Codisposal Upper'!$A$9:$BN$9,1),FALSE),0)+IFERROR(VLOOKUP($B25,'RA10-Codisposal Slopes'!$A$11:$BN$18,MATCH(Summary!BM$1,'RA10-Codisposal Slopes'!$A$9:$BN$9,1),FALSE),0)+IFERROR(VLOOKUP($B25,'IA1-Final Void inc Ramps'!$A$11:$BN$18,MATCH(Summary!BM$1,'IA1-Final Void inc Ramps'!$A$9:$BN$9,1),FALSE),0)</f>
        <v>171.56</v>
      </c>
      <c r="BN25" s="47">
        <f>IFERROR(VLOOKUP($B25,'RA1- Elevated Dumps Upper'!$A$11:$BN$18,MATCH(Summary!BN$1,'RA1- Elevated Dumps Upper'!$A$9:$BN$9,1),FALSE),0)+IFERROR(VLOOKUP($B25,'RA2-Elevated Dumps Slopes'!$A$11:$BN$18,MATCH(Summary!BN$1,'RA2-Elevated Dumps Slopes'!$A$9:$BN$9,1),FALSE),0)+IFERROR(VLOOKUP($B25,'RA3-Backfilled Pits'!$A$11:$BN$18,MATCH(Summary!BN$1,'RA3-Backfilled Pits'!$A$9:$BN$9,1),FALSE),0)+IFERROR(VLOOKUP($B25,'RA4-Tracks_Roads'!$A$11:$BN$18,MATCH(Summary!BN$1,'RA4-Tracks_Roads'!$A$9:$BN$9,1),FALSE),0)+IFERROR(VLOOKUP($B25,'RA5-ROM'!$A$11:$BN$18,MATCH(Summary!BN$1,'RA5-ROM'!$A$9:$BN$9,1),FALSE),0)+IFERROR(VLOOKUP($B25,'RA6-CHPP'!$A$11:$BN$18,MATCH(Summary!BN$1,'RA6-CHPP'!$A$9:$BN$9,1),FALSE),0)+IFERROR(VLOOKUP($B25,'RA7-Mine Infrastructure Area'!$A$11:$BN$18,MATCH(Summary!BN$1,'RA7-Mine Infrastructure Area'!$A$9:$BN$9,1),FALSE),0)+IFERROR(VLOOKUP($B25,'RA8-Water Management Structures'!$A$11:$BN$18,MATCH(Summary!BN$1,'RA8-Water Management Structures'!$A$9:$BN$9,1),FALSE),0)+IFERROR(VLOOKUP($B25,'RA9-Codisposal Upper'!$A$11:$BN$18,MATCH(Summary!BN$1,'RA9-Codisposal Upper'!$A$9:$BN$9,1),FALSE),0)+IFERROR(VLOOKUP($B25,'RA10-Codisposal Slopes'!$A$11:$BN$18,MATCH(Summary!BN$1,'RA10-Codisposal Slopes'!$A$9:$BN$9,1),FALSE),0)+IFERROR(VLOOKUP($B25,'IA1-Final Void inc Ramps'!$A$11:$BN$18,MATCH(Summary!BN$1,'IA1-Final Void inc Ramps'!$A$9:$BN$9,1),FALSE),0)</f>
        <v>171.56</v>
      </c>
    </row>
    <row r="26" spans="1:66" x14ac:dyDescent="0.35">
      <c r="A26" t="s">
        <v>102</v>
      </c>
      <c r="D26" s="47"/>
      <c r="E26" s="47"/>
      <c r="F26" s="47"/>
      <c r="G26" s="47"/>
      <c r="H26" s="47"/>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AT26" s="47"/>
      <c r="AU26" s="47"/>
      <c r="AV26" s="47"/>
      <c r="AW26" s="47"/>
      <c r="AX26" s="47"/>
      <c r="AY26" s="47"/>
      <c r="AZ26" s="47"/>
      <c r="BA26" s="47"/>
      <c r="BB26" s="47"/>
      <c r="BC26" s="47"/>
      <c r="BD26" s="47"/>
      <c r="BE26" s="47"/>
      <c r="BF26" s="47"/>
      <c r="BG26" s="47"/>
      <c r="BH26" s="47"/>
      <c r="BI26" s="47"/>
      <c r="BJ26" s="47"/>
      <c r="BK26" s="47"/>
      <c r="BL26" s="47"/>
      <c r="BM26" s="47"/>
      <c r="BN26" s="47"/>
    </row>
    <row r="27" spans="1:66" x14ac:dyDescent="0.35">
      <c r="B27" t="str">
        <f>B13</f>
        <v>RM1</v>
      </c>
      <c r="D27" s="47">
        <f t="shared" ref="D27:BN28" si="2">IF(D13&gt;C13,MAX(D13,C27),C27)</f>
        <v>0</v>
      </c>
      <c r="E27" s="47">
        <f t="shared" si="2"/>
        <v>0</v>
      </c>
      <c r="F27" s="47">
        <f t="shared" si="2"/>
        <v>0</v>
      </c>
      <c r="G27" s="47">
        <f t="shared" si="2"/>
        <v>0</v>
      </c>
      <c r="H27" s="47">
        <f t="shared" si="2"/>
        <v>0</v>
      </c>
      <c r="I27" s="47">
        <f t="shared" si="2"/>
        <v>0</v>
      </c>
      <c r="J27" s="47">
        <f t="shared" si="2"/>
        <v>0</v>
      </c>
      <c r="K27" s="47">
        <f t="shared" si="2"/>
        <v>0</v>
      </c>
      <c r="L27" s="47">
        <f t="shared" si="2"/>
        <v>0</v>
      </c>
      <c r="M27" s="47">
        <f t="shared" si="2"/>
        <v>0</v>
      </c>
      <c r="N27" s="47">
        <f t="shared" si="2"/>
        <v>0</v>
      </c>
      <c r="O27" s="47">
        <f t="shared" si="2"/>
        <v>0</v>
      </c>
      <c r="P27" s="47">
        <f t="shared" si="2"/>
        <v>0</v>
      </c>
      <c r="Q27" s="47">
        <f t="shared" si="2"/>
        <v>0</v>
      </c>
      <c r="R27" s="47">
        <f t="shared" si="2"/>
        <v>0</v>
      </c>
      <c r="S27" s="47">
        <f t="shared" si="2"/>
        <v>0</v>
      </c>
      <c r="T27" s="47">
        <f t="shared" si="2"/>
        <v>0</v>
      </c>
      <c r="U27" s="47">
        <f t="shared" si="2"/>
        <v>0</v>
      </c>
      <c r="V27" s="47">
        <f t="shared" si="2"/>
        <v>0</v>
      </c>
      <c r="W27" s="47">
        <f t="shared" si="2"/>
        <v>0</v>
      </c>
      <c r="X27" s="47">
        <f t="shared" si="2"/>
        <v>0</v>
      </c>
      <c r="Y27" s="47">
        <f t="shared" si="2"/>
        <v>0</v>
      </c>
      <c r="Z27" s="47">
        <f t="shared" si="2"/>
        <v>0</v>
      </c>
      <c r="AA27" s="47">
        <f t="shared" si="2"/>
        <v>0</v>
      </c>
      <c r="AB27" s="47">
        <f t="shared" si="2"/>
        <v>0</v>
      </c>
      <c r="AC27" s="47">
        <f t="shared" si="2"/>
        <v>72.989999999999995</v>
      </c>
      <c r="AD27" s="47">
        <f t="shared" si="2"/>
        <v>72.989999999999995</v>
      </c>
      <c r="AE27" s="47">
        <f t="shared" si="2"/>
        <v>156.613</v>
      </c>
      <c r="AF27" s="47">
        <f t="shared" si="2"/>
        <v>180.71300000000002</v>
      </c>
      <c r="AG27" s="47">
        <f t="shared" si="2"/>
        <v>525.83100000000002</v>
      </c>
      <c r="AH27" s="47">
        <f>IF(AH13&gt;AG13,MAX(AH13,AG27),AG27)</f>
        <v>542.60300000000007</v>
      </c>
      <c r="AI27" s="47">
        <f t="shared" si="2"/>
        <v>635.20300000000009</v>
      </c>
      <c r="AJ27" s="47">
        <f t="shared" si="2"/>
        <v>635.20300000000009</v>
      </c>
      <c r="AK27" s="47">
        <f t="shared" si="2"/>
        <v>635.20300000000009</v>
      </c>
      <c r="AL27" s="47">
        <f t="shared" si="2"/>
        <v>635.20300000000009</v>
      </c>
      <c r="AM27" s="47">
        <f t="shared" si="2"/>
        <v>635.20300000000009</v>
      </c>
      <c r="AN27" s="47">
        <f t="shared" si="2"/>
        <v>635.20300000000009</v>
      </c>
      <c r="AO27" s="47">
        <f t="shared" si="2"/>
        <v>635.20300000000009</v>
      </c>
      <c r="AP27" s="47">
        <f t="shared" si="2"/>
        <v>635.20300000000009</v>
      </c>
      <c r="AQ27" s="47">
        <f t="shared" si="2"/>
        <v>635.20300000000009</v>
      </c>
      <c r="AR27" s="47">
        <f t="shared" si="2"/>
        <v>635.20300000000009</v>
      </c>
      <c r="AS27" s="47">
        <f t="shared" si="2"/>
        <v>635.20300000000009</v>
      </c>
      <c r="AT27" s="47">
        <f t="shared" si="2"/>
        <v>635.20300000000009</v>
      </c>
      <c r="AU27" s="47">
        <f t="shared" si="2"/>
        <v>635.20300000000009</v>
      </c>
      <c r="AV27" s="47">
        <f t="shared" si="2"/>
        <v>635.20300000000009</v>
      </c>
      <c r="AW27" s="47">
        <f t="shared" si="2"/>
        <v>635.20300000000009</v>
      </c>
      <c r="AX27" s="47">
        <f t="shared" si="2"/>
        <v>635.20300000000009</v>
      </c>
      <c r="AY27" s="47">
        <f t="shared" si="2"/>
        <v>635.20300000000009</v>
      </c>
      <c r="AZ27" s="47">
        <f t="shared" si="2"/>
        <v>635.20300000000009</v>
      </c>
      <c r="BA27" s="47">
        <f t="shared" si="2"/>
        <v>635.20300000000009</v>
      </c>
      <c r="BB27" s="47">
        <f t="shared" si="2"/>
        <v>635.20300000000009</v>
      </c>
      <c r="BC27" s="47">
        <f t="shared" si="2"/>
        <v>635.20300000000009</v>
      </c>
      <c r="BD27" s="47">
        <f t="shared" si="2"/>
        <v>635.20300000000009</v>
      </c>
      <c r="BE27" s="47">
        <f t="shared" si="2"/>
        <v>635.20300000000009</v>
      </c>
      <c r="BF27" s="47">
        <f t="shared" si="2"/>
        <v>635.20300000000009</v>
      </c>
      <c r="BG27" s="47">
        <f t="shared" si="2"/>
        <v>635.20300000000009</v>
      </c>
      <c r="BH27" s="47">
        <f t="shared" si="2"/>
        <v>635.20300000000009</v>
      </c>
      <c r="BI27" s="47">
        <f t="shared" si="2"/>
        <v>635.20300000000009</v>
      </c>
      <c r="BJ27" s="47">
        <f t="shared" si="2"/>
        <v>635.20300000000009</v>
      </c>
      <c r="BK27" s="47">
        <f t="shared" si="2"/>
        <v>635.20300000000009</v>
      </c>
      <c r="BL27" s="47">
        <f t="shared" si="2"/>
        <v>635.20300000000009</v>
      </c>
      <c r="BM27" s="47">
        <f t="shared" si="2"/>
        <v>635.20300000000009</v>
      </c>
      <c r="BN27" s="47">
        <f t="shared" si="2"/>
        <v>635.20300000000009</v>
      </c>
    </row>
    <row r="28" spans="1:66" x14ac:dyDescent="0.35">
      <c r="B28" t="str">
        <f t="shared" ref="B28:B39" si="3">B14</f>
        <v>RM2</v>
      </c>
      <c r="D28" s="47">
        <f t="shared" si="2"/>
        <v>0</v>
      </c>
      <c r="E28" s="47">
        <f t="shared" si="2"/>
        <v>0</v>
      </c>
      <c r="F28" s="47">
        <f t="shared" si="2"/>
        <v>0</v>
      </c>
      <c r="G28" s="47">
        <f t="shared" si="2"/>
        <v>0</v>
      </c>
      <c r="H28" s="47">
        <f t="shared" si="2"/>
        <v>0</v>
      </c>
      <c r="I28" s="47">
        <f t="shared" si="2"/>
        <v>0</v>
      </c>
      <c r="J28" s="47">
        <f t="shared" si="2"/>
        <v>0</v>
      </c>
      <c r="K28" s="47">
        <f t="shared" si="2"/>
        <v>33.869</v>
      </c>
      <c r="L28" s="47">
        <f t="shared" si="2"/>
        <v>78.697000000000003</v>
      </c>
      <c r="M28" s="47">
        <f t="shared" si="2"/>
        <v>129.40700000000001</v>
      </c>
      <c r="N28" s="47">
        <f t="shared" si="2"/>
        <v>241.43900000000002</v>
      </c>
      <c r="O28" s="47">
        <f t="shared" si="2"/>
        <v>433.27699999999999</v>
      </c>
      <c r="P28" s="47">
        <f t="shared" si="2"/>
        <v>509.03999999999996</v>
      </c>
      <c r="Q28" s="47">
        <f t="shared" si="2"/>
        <v>543.51400000000001</v>
      </c>
      <c r="R28" s="47">
        <f t="shared" si="2"/>
        <v>601.03399999999999</v>
      </c>
      <c r="S28" s="47">
        <f t="shared" si="2"/>
        <v>657.9899999999999</v>
      </c>
      <c r="T28" s="47">
        <f t="shared" si="2"/>
        <v>680.76199999999994</v>
      </c>
      <c r="U28" s="47">
        <f t="shared" si="2"/>
        <v>701.06399999999985</v>
      </c>
      <c r="V28" s="47">
        <f t="shared" si="2"/>
        <v>701.06399999999985</v>
      </c>
      <c r="W28" s="47">
        <f t="shared" si="2"/>
        <v>725.3119999999999</v>
      </c>
      <c r="X28" s="47">
        <f t="shared" si="2"/>
        <v>759.93</v>
      </c>
      <c r="Y28" s="47">
        <f t="shared" si="2"/>
        <v>825.22</v>
      </c>
      <c r="Z28" s="47">
        <f t="shared" si="2"/>
        <v>860.49299999999994</v>
      </c>
      <c r="AA28" s="47">
        <f t="shared" si="2"/>
        <v>860.49299999999994</v>
      </c>
      <c r="AB28" s="47">
        <f t="shared" si="2"/>
        <v>860.49299999999994</v>
      </c>
      <c r="AC28" s="47">
        <f t="shared" si="2"/>
        <v>895.03099999999995</v>
      </c>
      <c r="AD28" s="47">
        <f t="shared" si="2"/>
        <v>895.03099999999995</v>
      </c>
      <c r="AE28" s="47">
        <f t="shared" si="2"/>
        <v>895.03099999999995</v>
      </c>
      <c r="AF28" s="47">
        <f t="shared" si="2"/>
        <v>1204.8519999999999</v>
      </c>
      <c r="AG28" s="47">
        <f t="shared" si="2"/>
        <v>1421.7450000000001</v>
      </c>
      <c r="AH28" s="47">
        <f>IF(AH14&gt;AG14,MAX(AH14,AG28),AG28)</f>
        <v>1574.6130000000001</v>
      </c>
      <c r="AI28" s="47">
        <f t="shared" si="2"/>
        <v>1901.2130000000002</v>
      </c>
      <c r="AJ28" s="47">
        <f t="shared" si="2"/>
        <v>1901.2130000000002</v>
      </c>
      <c r="AK28" s="47">
        <f t="shared" si="2"/>
        <v>1901.2130000000002</v>
      </c>
      <c r="AL28" s="47">
        <f t="shared" si="2"/>
        <v>1901.2130000000002</v>
      </c>
      <c r="AM28" s="47">
        <f t="shared" si="2"/>
        <v>1901.2130000000002</v>
      </c>
      <c r="AN28" s="47">
        <f t="shared" si="2"/>
        <v>1901.2130000000002</v>
      </c>
      <c r="AO28" s="47">
        <f t="shared" si="2"/>
        <v>1901.2130000000002</v>
      </c>
      <c r="AP28" s="47">
        <f t="shared" si="2"/>
        <v>1901.2130000000002</v>
      </c>
      <c r="AQ28" s="47">
        <f t="shared" si="2"/>
        <v>1901.2130000000002</v>
      </c>
      <c r="AR28" s="47">
        <f t="shared" si="2"/>
        <v>1901.2130000000002</v>
      </c>
      <c r="AS28" s="47">
        <f t="shared" si="2"/>
        <v>1901.2130000000002</v>
      </c>
      <c r="AT28" s="47">
        <f t="shared" si="2"/>
        <v>1901.2130000000002</v>
      </c>
      <c r="AU28" s="47">
        <f t="shared" si="2"/>
        <v>1901.2130000000002</v>
      </c>
      <c r="AV28" s="47">
        <f t="shared" si="2"/>
        <v>1901.2130000000002</v>
      </c>
      <c r="AW28" s="47">
        <f t="shared" si="2"/>
        <v>1901.2130000000002</v>
      </c>
      <c r="AX28" s="47">
        <f t="shared" si="2"/>
        <v>1901.2130000000002</v>
      </c>
      <c r="AY28" s="47">
        <f t="shared" si="2"/>
        <v>1901.2130000000002</v>
      </c>
      <c r="AZ28" s="47">
        <f t="shared" si="2"/>
        <v>1901.2130000000002</v>
      </c>
      <c r="BA28" s="47">
        <f t="shared" si="2"/>
        <v>1901.2130000000002</v>
      </c>
      <c r="BB28" s="47">
        <f t="shared" si="2"/>
        <v>1901.2130000000002</v>
      </c>
      <c r="BC28" s="47">
        <f t="shared" si="2"/>
        <v>1901.2130000000002</v>
      </c>
      <c r="BD28" s="47">
        <f t="shared" si="2"/>
        <v>1901.2130000000002</v>
      </c>
      <c r="BE28" s="47">
        <f t="shared" si="2"/>
        <v>1901.2130000000002</v>
      </c>
      <c r="BF28" s="47">
        <f t="shared" si="2"/>
        <v>1901.2130000000002</v>
      </c>
      <c r="BG28" s="47">
        <f t="shared" si="2"/>
        <v>1901.2130000000002</v>
      </c>
      <c r="BH28" s="47">
        <f t="shared" si="2"/>
        <v>1901.2130000000002</v>
      </c>
      <c r="BI28" s="47">
        <f t="shared" si="2"/>
        <v>1901.2130000000002</v>
      </c>
      <c r="BJ28" s="47">
        <f t="shared" si="2"/>
        <v>1901.2130000000002</v>
      </c>
      <c r="BK28" s="47">
        <f t="shared" si="2"/>
        <v>1901.2130000000002</v>
      </c>
      <c r="BL28" s="47">
        <f t="shared" si="2"/>
        <v>1901.2130000000002</v>
      </c>
      <c r="BM28" s="47">
        <f t="shared" si="2"/>
        <v>1901.2130000000002</v>
      </c>
      <c r="BN28" s="47">
        <f t="shared" si="2"/>
        <v>1901.2130000000002</v>
      </c>
    </row>
    <row r="29" spans="1:66" x14ac:dyDescent="0.35">
      <c r="B29" t="str">
        <f t="shared" si="3"/>
        <v>RM3</v>
      </c>
      <c r="D29" s="47">
        <f t="shared" ref="D29:BN29" si="4">IF(D15&gt;C15,MAX(D15,C29),C29)</f>
        <v>0</v>
      </c>
      <c r="E29" s="47">
        <f t="shared" si="4"/>
        <v>0</v>
      </c>
      <c r="F29" s="47">
        <f t="shared" si="4"/>
        <v>0</v>
      </c>
      <c r="G29" s="47">
        <f t="shared" si="4"/>
        <v>0</v>
      </c>
      <c r="H29" s="47">
        <f t="shared" si="4"/>
        <v>0</v>
      </c>
      <c r="I29" s="47">
        <f t="shared" si="4"/>
        <v>0</v>
      </c>
      <c r="J29" s="47">
        <f t="shared" si="4"/>
        <v>0</v>
      </c>
      <c r="K29" s="47">
        <f t="shared" si="4"/>
        <v>0</v>
      </c>
      <c r="L29" s="47">
        <f t="shared" si="4"/>
        <v>0</v>
      </c>
      <c r="M29" s="47">
        <f t="shared" si="4"/>
        <v>0</v>
      </c>
      <c r="N29" s="47">
        <f t="shared" si="4"/>
        <v>0</v>
      </c>
      <c r="O29" s="47">
        <f t="shared" si="4"/>
        <v>0</v>
      </c>
      <c r="P29" s="47">
        <f t="shared" si="4"/>
        <v>0</v>
      </c>
      <c r="Q29" s="47">
        <f t="shared" si="4"/>
        <v>0</v>
      </c>
      <c r="R29" s="47">
        <f t="shared" si="4"/>
        <v>0</v>
      </c>
      <c r="S29" s="47">
        <f t="shared" si="4"/>
        <v>0</v>
      </c>
      <c r="T29" s="47">
        <f t="shared" si="4"/>
        <v>0</v>
      </c>
      <c r="U29" s="47">
        <f t="shared" si="4"/>
        <v>0</v>
      </c>
      <c r="V29" s="47">
        <f t="shared" si="4"/>
        <v>0</v>
      </c>
      <c r="W29" s="47">
        <f t="shared" si="4"/>
        <v>0</v>
      </c>
      <c r="X29" s="47">
        <f t="shared" si="4"/>
        <v>0</v>
      </c>
      <c r="Y29" s="47">
        <f t="shared" si="4"/>
        <v>0</v>
      </c>
      <c r="Z29" s="47">
        <f t="shared" si="4"/>
        <v>0</v>
      </c>
      <c r="AA29" s="47">
        <f t="shared" si="4"/>
        <v>0</v>
      </c>
      <c r="AB29" s="47">
        <f t="shared" si="4"/>
        <v>0</v>
      </c>
      <c r="AC29" s="47">
        <f t="shared" si="4"/>
        <v>0</v>
      </c>
      <c r="AD29" s="47">
        <f t="shared" si="4"/>
        <v>0</v>
      </c>
      <c r="AE29" s="47">
        <f t="shared" si="4"/>
        <v>0</v>
      </c>
      <c r="AF29" s="47">
        <f t="shared" si="4"/>
        <v>0</v>
      </c>
      <c r="AG29" s="47">
        <f t="shared" si="4"/>
        <v>0</v>
      </c>
      <c r="AH29" s="47">
        <f t="shared" si="4"/>
        <v>65.300000000000011</v>
      </c>
      <c r="AI29" s="47">
        <f t="shared" si="4"/>
        <v>65.300000000000011</v>
      </c>
      <c r="AJ29" s="47">
        <f t="shared" si="4"/>
        <v>65.300000000000011</v>
      </c>
      <c r="AK29" s="47">
        <f t="shared" si="4"/>
        <v>65.300000000000011</v>
      </c>
      <c r="AL29" s="47">
        <f t="shared" si="4"/>
        <v>65.300000000000011</v>
      </c>
      <c r="AM29" s="47">
        <f t="shared" si="4"/>
        <v>65.300000000000011</v>
      </c>
      <c r="AN29" s="47">
        <f t="shared" si="4"/>
        <v>65.300000000000011</v>
      </c>
      <c r="AO29" s="47">
        <f t="shared" si="4"/>
        <v>65.300000000000011</v>
      </c>
      <c r="AP29" s="47">
        <f t="shared" si="4"/>
        <v>65.300000000000011</v>
      </c>
      <c r="AQ29" s="47">
        <f t="shared" si="4"/>
        <v>65.300000000000011</v>
      </c>
      <c r="AR29" s="47">
        <f t="shared" si="4"/>
        <v>65.300000000000011</v>
      </c>
      <c r="AS29" s="47">
        <f t="shared" si="4"/>
        <v>65.300000000000011</v>
      </c>
      <c r="AT29" s="47">
        <f t="shared" si="4"/>
        <v>65.300000000000011</v>
      </c>
      <c r="AU29" s="47">
        <f t="shared" si="4"/>
        <v>65.300000000000011</v>
      </c>
      <c r="AV29" s="47">
        <f t="shared" si="4"/>
        <v>65.300000000000011</v>
      </c>
      <c r="AW29" s="47">
        <f t="shared" si="4"/>
        <v>65.300000000000011</v>
      </c>
      <c r="AX29" s="47">
        <f t="shared" si="4"/>
        <v>65.300000000000011</v>
      </c>
      <c r="AY29" s="47">
        <f t="shared" si="4"/>
        <v>65.300000000000011</v>
      </c>
      <c r="AZ29" s="47">
        <f t="shared" si="4"/>
        <v>65.300000000000011</v>
      </c>
      <c r="BA29" s="47">
        <f t="shared" si="4"/>
        <v>65.300000000000011</v>
      </c>
      <c r="BB29" s="47">
        <f t="shared" si="4"/>
        <v>65.300000000000011</v>
      </c>
      <c r="BC29" s="47">
        <f t="shared" si="4"/>
        <v>65.300000000000011</v>
      </c>
      <c r="BD29" s="47">
        <f t="shared" si="4"/>
        <v>65.300000000000011</v>
      </c>
      <c r="BE29" s="47">
        <f t="shared" si="4"/>
        <v>65.300000000000011</v>
      </c>
      <c r="BF29" s="47">
        <f t="shared" si="4"/>
        <v>65.300000000000011</v>
      </c>
      <c r="BG29" s="47">
        <f t="shared" si="4"/>
        <v>65.300000000000011</v>
      </c>
      <c r="BH29" s="47">
        <f t="shared" si="4"/>
        <v>65.300000000000011</v>
      </c>
      <c r="BI29" s="47">
        <f t="shared" si="4"/>
        <v>65.300000000000011</v>
      </c>
      <c r="BJ29" s="47">
        <f t="shared" si="4"/>
        <v>65.300000000000011</v>
      </c>
      <c r="BK29" s="47">
        <f t="shared" si="4"/>
        <v>65.300000000000011</v>
      </c>
      <c r="BL29" s="47">
        <f t="shared" si="4"/>
        <v>65.300000000000011</v>
      </c>
      <c r="BM29" s="47">
        <f t="shared" si="4"/>
        <v>65.300000000000011</v>
      </c>
      <c r="BN29" s="47">
        <f t="shared" si="4"/>
        <v>65.300000000000011</v>
      </c>
    </row>
    <row r="30" spans="1:66" x14ac:dyDescent="0.35">
      <c r="B30" t="str">
        <f t="shared" si="3"/>
        <v>RM4</v>
      </c>
      <c r="D30" s="47">
        <f t="shared" ref="D30:BN30" si="5">IF(D16&gt;C16,MAX(D16,C30),C30)</f>
        <v>0</v>
      </c>
      <c r="E30" s="47">
        <f t="shared" si="5"/>
        <v>0</v>
      </c>
      <c r="F30" s="47">
        <f t="shared" si="5"/>
        <v>0</v>
      </c>
      <c r="G30" s="47">
        <f t="shared" si="5"/>
        <v>0</v>
      </c>
      <c r="H30" s="47">
        <f t="shared" si="5"/>
        <v>0</v>
      </c>
      <c r="I30" s="47">
        <f t="shared" si="5"/>
        <v>0</v>
      </c>
      <c r="J30" s="47">
        <f t="shared" si="5"/>
        <v>0</v>
      </c>
      <c r="K30" s="47">
        <f t="shared" si="5"/>
        <v>33.869</v>
      </c>
      <c r="L30" s="47">
        <f t="shared" si="5"/>
        <v>78.697000000000003</v>
      </c>
      <c r="M30" s="47">
        <f t="shared" si="5"/>
        <v>129.40700000000001</v>
      </c>
      <c r="N30" s="47">
        <f t="shared" si="5"/>
        <v>241.43900000000002</v>
      </c>
      <c r="O30" s="47">
        <f t="shared" si="5"/>
        <v>433.27699999999999</v>
      </c>
      <c r="P30" s="47">
        <f t="shared" si="5"/>
        <v>509.03999999999996</v>
      </c>
      <c r="Q30" s="47">
        <f t="shared" si="5"/>
        <v>543.51400000000001</v>
      </c>
      <c r="R30" s="47">
        <f t="shared" si="5"/>
        <v>601.03399999999999</v>
      </c>
      <c r="S30" s="47">
        <f t="shared" si="5"/>
        <v>657.9899999999999</v>
      </c>
      <c r="T30" s="47">
        <f t="shared" si="5"/>
        <v>680.76199999999994</v>
      </c>
      <c r="U30" s="47">
        <f t="shared" si="5"/>
        <v>701.06399999999985</v>
      </c>
      <c r="V30" s="47">
        <f t="shared" si="5"/>
        <v>701.06399999999985</v>
      </c>
      <c r="W30" s="47">
        <f t="shared" si="5"/>
        <v>725.3119999999999</v>
      </c>
      <c r="X30" s="47">
        <f t="shared" si="5"/>
        <v>759.93</v>
      </c>
      <c r="Y30" s="47">
        <f t="shared" si="5"/>
        <v>825.22</v>
      </c>
      <c r="Z30" s="47">
        <f t="shared" si="5"/>
        <v>860.49299999999994</v>
      </c>
      <c r="AA30" s="47">
        <f t="shared" si="5"/>
        <v>860.49299999999994</v>
      </c>
      <c r="AB30" s="47">
        <f t="shared" si="5"/>
        <v>860.49299999999994</v>
      </c>
      <c r="AC30" s="47">
        <f t="shared" si="5"/>
        <v>895.03099999999995</v>
      </c>
      <c r="AD30" s="47">
        <f t="shared" si="5"/>
        <v>895.03099999999995</v>
      </c>
      <c r="AE30" s="47">
        <f t="shared" si="5"/>
        <v>895.03099999999995</v>
      </c>
      <c r="AF30" s="47">
        <f t="shared" si="5"/>
        <v>1204.8519999999999</v>
      </c>
      <c r="AG30" s="47">
        <f t="shared" si="5"/>
        <v>1421.7450000000001</v>
      </c>
      <c r="AH30" s="47">
        <f t="shared" si="5"/>
        <v>1574.6130000000001</v>
      </c>
      <c r="AI30" s="47">
        <f t="shared" si="5"/>
        <v>1901.2130000000002</v>
      </c>
      <c r="AJ30" s="47">
        <f t="shared" si="5"/>
        <v>1901.2130000000002</v>
      </c>
      <c r="AK30" s="47">
        <f t="shared" si="5"/>
        <v>1901.2130000000002</v>
      </c>
      <c r="AL30" s="47">
        <f t="shared" si="5"/>
        <v>1901.2130000000002</v>
      </c>
      <c r="AM30" s="47">
        <f t="shared" si="5"/>
        <v>1901.2130000000002</v>
      </c>
      <c r="AN30" s="47">
        <f t="shared" si="5"/>
        <v>1901.2130000000002</v>
      </c>
      <c r="AO30" s="47">
        <f t="shared" si="5"/>
        <v>1901.2130000000002</v>
      </c>
      <c r="AP30" s="47">
        <f t="shared" si="5"/>
        <v>1901.2130000000002</v>
      </c>
      <c r="AQ30" s="47">
        <f t="shared" si="5"/>
        <v>1901.2130000000002</v>
      </c>
      <c r="AR30" s="47">
        <f t="shared" si="5"/>
        <v>1901.2130000000002</v>
      </c>
      <c r="AS30" s="47">
        <f t="shared" si="5"/>
        <v>1901.2130000000002</v>
      </c>
      <c r="AT30" s="47">
        <f t="shared" si="5"/>
        <v>1901.2130000000002</v>
      </c>
      <c r="AU30" s="47">
        <f t="shared" si="5"/>
        <v>1901.2130000000002</v>
      </c>
      <c r="AV30" s="47">
        <f t="shared" si="5"/>
        <v>1901.2130000000002</v>
      </c>
      <c r="AW30" s="47">
        <f t="shared" si="5"/>
        <v>1901.2130000000002</v>
      </c>
      <c r="AX30" s="47">
        <f t="shared" si="5"/>
        <v>1901.2130000000002</v>
      </c>
      <c r="AY30" s="47">
        <f t="shared" si="5"/>
        <v>1901.2130000000002</v>
      </c>
      <c r="AZ30" s="47">
        <f t="shared" si="5"/>
        <v>1901.2130000000002</v>
      </c>
      <c r="BA30" s="47">
        <f t="shared" si="5"/>
        <v>1901.2130000000002</v>
      </c>
      <c r="BB30" s="47">
        <f t="shared" si="5"/>
        <v>1901.2130000000002</v>
      </c>
      <c r="BC30" s="47">
        <f t="shared" si="5"/>
        <v>1901.2130000000002</v>
      </c>
      <c r="BD30" s="47">
        <f t="shared" si="5"/>
        <v>1901.2130000000002</v>
      </c>
      <c r="BE30" s="47">
        <f t="shared" si="5"/>
        <v>1901.2130000000002</v>
      </c>
      <c r="BF30" s="47">
        <f t="shared" si="5"/>
        <v>1901.2130000000002</v>
      </c>
      <c r="BG30" s="47">
        <f t="shared" si="5"/>
        <v>1901.2130000000002</v>
      </c>
      <c r="BH30" s="47">
        <f t="shared" si="5"/>
        <v>1901.2130000000002</v>
      </c>
      <c r="BI30" s="47">
        <f t="shared" si="5"/>
        <v>1901.2130000000002</v>
      </c>
      <c r="BJ30" s="47">
        <f t="shared" si="5"/>
        <v>1901.2130000000002</v>
      </c>
      <c r="BK30" s="47">
        <f t="shared" si="5"/>
        <v>1901.2130000000002</v>
      </c>
      <c r="BL30" s="47">
        <f t="shared" si="5"/>
        <v>1901.2130000000002</v>
      </c>
      <c r="BM30" s="47">
        <f t="shared" si="5"/>
        <v>1901.2130000000002</v>
      </c>
      <c r="BN30" s="47">
        <f t="shared" si="5"/>
        <v>1901.2130000000002</v>
      </c>
    </row>
    <row r="31" spans="1:66" x14ac:dyDescent="0.35">
      <c r="B31" t="str">
        <f t="shared" si="3"/>
        <v>RM5</v>
      </c>
      <c r="D31" s="47">
        <f t="shared" ref="D31:BN31" si="6">IF(D17&gt;C17,MAX(D17,C31),C31)</f>
        <v>0</v>
      </c>
      <c r="E31" s="47">
        <f t="shared" si="6"/>
        <v>0</v>
      </c>
      <c r="F31" s="47">
        <f t="shared" si="6"/>
        <v>0</v>
      </c>
      <c r="G31" s="47">
        <f t="shared" si="6"/>
        <v>0</v>
      </c>
      <c r="H31" s="47">
        <f t="shared" si="6"/>
        <v>0</v>
      </c>
      <c r="I31" s="47">
        <f t="shared" si="6"/>
        <v>0</v>
      </c>
      <c r="J31" s="47">
        <f t="shared" si="6"/>
        <v>0</v>
      </c>
      <c r="K31" s="47">
        <f t="shared" si="6"/>
        <v>0</v>
      </c>
      <c r="L31" s="47">
        <f t="shared" si="6"/>
        <v>0</v>
      </c>
      <c r="M31" s="47">
        <f t="shared" si="6"/>
        <v>0</v>
      </c>
      <c r="N31" s="47">
        <f t="shared" si="6"/>
        <v>0</v>
      </c>
      <c r="O31" s="47">
        <f t="shared" si="6"/>
        <v>0</v>
      </c>
      <c r="P31" s="47">
        <f t="shared" si="6"/>
        <v>0</v>
      </c>
      <c r="Q31" s="47">
        <f t="shared" si="6"/>
        <v>0</v>
      </c>
      <c r="R31" s="47">
        <f t="shared" si="6"/>
        <v>0</v>
      </c>
      <c r="S31" s="47">
        <f t="shared" si="6"/>
        <v>0</v>
      </c>
      <c r="T31" s="47">
        <f t="shared" si="6"/>
        <v>0</v>
      </c>
      <c r="U31" s="47">
        <f t="shared" si="6"/>
        <v>0</v>
      </c>
      <c r="V31" s="47">
        <f t="shared" si="6"/>
        <v>0</v>
      </c>
      <c r="W31" s="47">
        <f t="shared" si="6"/>
        <v>0</v>
      </c>
      <c r="X31" s="47">
        <f t="shared" si="6"/>
        <v>0</v>
      </c>
      <c r="Y31" s="47">
        <f t="shared" si="6"/>
        <v>0</v>
      </c>
      <c r="Z31" s="47">
        <f t="shared" si="6"/>
        <v>0</v>
      </c>
      <c r="AA31" s="47">
        <f t="shared" si="6"/>
        <v>0</v>
      </c>
      <c r="AB31" s="47">
        <f t="shared" si="6"/>
        <v>0</v>
      </c>
      <c r="AC31" s="47">
        <f t="shared" si="6"/>
        <v>0</v>
      </c>
      <c r="AD31" s="47">
        <f t="shared" si="6"/>
        <v>0</v>
      </c>
      <c r="AE31" s="47">
        <f t="shared" si="6"/>
        <v>0</v>
      </c>
      <c r="AF31" s="47">
        <f t="shared" si="6"/>
        <v>24.1</v>
      </c>
      <c r="AG31" s="47">
        <f t="shared" si="6"/>
        <v>208.3</v>
      </c>
      <c r="AH31" s="47">
        <f t="shared" si="6"/>
        <v>243.303</v>
      </c>
      <c r="AI31" s="47">
        <f t="shared" si="6"/>
        <v>569.90300000000002</v>
      </c>
      <c r="AJ31" s="47">
        <f t="shared" si="6"/>
        <v>569.90300000000002</v>
      </c>
      <c r="AK31" s="47">
        <f t="shared" si="6"/>
        <v>569.90300000000002</v>
      </c>
      <c r="AL31" s="47">
        <f t="shared" si="6"/>
        <v>569.90300000000002</v>
      </c>
      <c r="AM31" s="47">
        <f t="shared" si="6"/>
        <v>569.90300000000002</v>
      </c>
      <c r="AN31" s="47">
        <f t="shared" si="6"/>
        <v>569.90300000000002</v>
      </c>
      <c r="AO31" s="47">
        <f t="shared" si="6"/>
        <v>569.90300000000002</v>
      </c>
      <c r="AP31" s="47">
        <f t="shared" si="6"/>
        <v>569.90300000000002</v>
      </c>
      <c r="AQ31" s="47">
        <f t="shared" si="6"/>
        <v>569.90300000000002</v>
      </c>
      <c r="AR31" s="47">
        <f t="shared" si="6"/>
        <v>569.90300000000002</v>
      </c>
      <c r="AS31" s="47">
        <f t="shared" si="6"/>
        <v>569.90300000000002</v>
      </c>
      <c r="AT31" s="47">
        <f t="shared" si="6"/>
        <v>569.90300000000002</v>
      </c>
      <c r="AU31" s="47">
        <f t="shared" si="6"/>
        <v>569.90300000000002</v>
      </c>
      <c r="AV31" s="47">
        <f t="shared" si="6"/>
        <v>569.90300000000002</v>
      </c>
      <c r="AW31" s="47">
        <f t="shared" si="6"/>
        <v>569.90300000000002</v>
      </c>
      <c r="AX31" s="47">
        <f t="shared" si="6"/>
        <v>569.90300000000002</v>
      </c>
      <c r="AY31" s="47">
        <f t="shared" si="6"/>
        <v>569.90300000000002</v>
      </c>
      <c r="AZ31" s="47">
        <f t="shared" si="6"/>
        <v>569.90300000000002</v>
      </c>
      <c r="BA31" s="47">
        <f t="shared" si="6"/>
        <v>569.90300000000002</v>
      </c>
      <c r="BB31" s="47">
        <f t="shared" si="6"/>
        <v>569.90300000000002</v>
      </c>
      <c r="BC31" s="47">
        <f t="shared" si="6"/>
        <v>569.90300000000002</v>
      </c>
      <c r="BD31" s="47">
        <f t="shared" si="6"/>
        <v>569.90300000000002</v>
      </c>
      <c r="BE31" s="47">
        <f t="shared" si="6"/>
        <v>569.90300000000002</v>
      </c>
      <c r="BF31" s="47">
        <f t="shared" si="6"/>
        <v>569.90300000000002</v>
      </c>
      <c r="BG31" s="47">
        <f t="shared" si="6"/>
        <v>569.90300000000002</v>
      </c>
      <c r="BH31" s="47">
        <f t="shared" si="6"/>
        <v>569.90300000000002</v>
      </c>
      <c r="BI31" s="47">
        <f t="shared" si="6"/>
        <v>569.90300000000002</v>
      </c>
      <c r="BJ31" s="47">
        <f t="shared" si="6"/>
        <v>569.90300000000002</v>
      </c>
      <c r="BK31" s="47">
        <f t="shared" si="6"/>
        <v>569.90300000000002</v>
      </c>
      <c r="BL31" s="47">
        <f t="shared" si="6"/>
        <v>569.90300000000002</v>
      </c>
      <c r="BM31" s="47">
        <f t="shared" si="6"/>
        <v>569.90300000000002</v>
      </c>
      <c r="BN31" s="47">
        <f t="shared" si="6"/>
        <v>569.90300000000002</v>
      </c>
    </row>
    <row r="32" spans="1:66" x14ac:dyDescent="0.35">
      <c r="B32" t="str">
        <f t="shared" si="3"/>
        <v>RM6</v>
      </c>
      <c r="D32" s="47">
        <f t="shared" ref="D32:BN32" si="7">IF(D18&gt;C18,MAX(D18,C32),C32)</f>
        <v>0</v>
      </c>
      <c r="E32" s="47">
        <f t="shared" si="7"/>
        <v>0</v>
      </c>
      <c r="F32" s="47">
        <f t="shared" si="7"/>
        <v>0</v>
      </c>
      <c r="G32" s="47">
        <f t="shared" si="7"/>
        <v>0</v>
      </c>
      <c r="H32" s="47">
        <f t="shared" si="7"/>
        <v>0</v>
      </c>
      <c r="I32" s="47">
        <f t="shared" si="7"/>
        <v>0</v>
      </c>
      <c r="J32" s="47">
        <f t="shared" si="7"/>
        <v>0</v>
      </c>
      <c r="K32" s="47">
        <f t="shared" si="7"/>
        <v>33.869</v>
      </c>
      <c r="L32" s="47">
        <f t="shared" si="7"/>
        <v>78.697000000000003</v>
      </c>
      <c r="M32" s="47">
        <f t="shared" si="7"/>
        <v>129.40700000000001</v>
      </c>
      <c r="N32" s="47">
        <f t="shared" si="7"/>
        <v>241.43900000000002</v>
      </c>
      <c r="O32" s="47">
        <f t="shared" si="7"/>
        <v>433.27699999999999</v>
      </c>
      <c r="P32" s="47">
        <f t="shared" si="7"/>
        <v>509.03999999999996</v>
      </c>
      <c r="Q32" s="47">
        <f t="shared" si="7"/>
        <v>543.51400000000001</v>
      </c>
      <c r="R32" s="47">
        <f t="shared" si="7"/>
        <v>601.03399999999999</v>
      </c>
      <c r="S32" s="47">
        <f t="shared" si="7"/>
        <v>657.9899999999999</v>
      </c>
      <c r="T32" s="47">
        <f t="shared" si="7"/>
        <v>680.76199999999994</v>
      </c>
      <c r="U32" s="47">
        <f t="shared" si="7"/>
        <v>701.06399999999985</v>
      </c>
      <c r="V32" s="47">
        <f t="shared" si="7"/>
        <v>701.06399999999985</v>
      </c>
      <c r="W32" s="47">
        <f t="shared" si="7"/>
        <v>725.3119999999999</v>
      </c>
      <c r="X32" s="47">
        <f t="shared" si="7"/>
        <v>759.93</v>
      </c>
      <c r="Y32" s="47">
        <f t="shared" si="7"/>
        <v>825.22</v>
      </c>
      <c r="Z32" s="47">
        <f t="shared" si="7"/>
        <v>860.49299999999994</v>
      </c>
      <c r="AA32" s="47">
        <f t="shared" si="7"/>
        <v>860.49299999999994</v>
      </c>
      <c r="AB32" s="47">
        <f t="shared" si="7"/>
        <v>860.49299999999994</v>
      </c>
      <c r="AC32" s="47">
        <f t="shared" si="7"/>
        <v>895.03099999999995</v>
      </c>
      <c r="AD32" s="47">
        <f t="shared" si="7"/>
        <v>895.03099999999995</v>
      </c>
      <c r="AE32" s="47">
        <f t="shared" si="7"/>
        <v>895.03099999999995</v>
      </c>
      <c r="AF32" s="47">
        <f t="shared" si="7"/>
        <v>1180.752</v>
      </c>
      <c r="AG32" s="47">
        <f t="shared" si="7"/>
        <v>1213.4450000000002</v>
      </c>
      <c r="AH32" s="47">
        <f t="shared" si="7"/>
        <v>1331.3100000000002</v>
      </c>
      <c r="AI32" s="47">
        <f t="shared" si="7"/>
        <v>1331.3100000000002</v>
      </c>
      <c r="AJ32" s="47">
        <f t="shared" si="7"/>
        <v>1331.3100000000002</v>
      </c>
      <c r="AK32" s="47">
        <f t="shared" si="7"/>
        <v>1331.3100000000002</v>
      </c>
      <c r="AL32" s="47">
        <f t="shared" si="7"/>
        <v>1331.3100000000002</v>
      </c>
      <c r="AM32" s="47">
        <f t="shared" si="7"/>
        <v>1331.3100000000002</v>
      </c>
      <c r="AN32" s="47">
        <f t="shared" si="7"/>
        <v>1331.3100000000002</v>
      </c>
      <c r="AO32" s="47">
        <f t="shared" si="7"/>
        <v>1331.3100000000002</v>
      </c>
      <c r="AP32" s="47">
        <f t="shared" si="7"/>
        <v>1331.3100000000002</v>
      </c>
      <c r="AQ32" s="47">
        <f t="shared" si="7"/>
        <v>1331.3100000000002</v>
      </c>
      <c r="AR32" s="47">
        <f t="shared" si="7"/>
        <v>1331.3100000000002</v>
      </c>
      <c r="AS32" s="47">
        <f t="shared" si="7"/>
        <v>1331.3100000000002</v>
      </c>
      <c r="AT32" s="47">
        <f t="shared" si="7"/>
        <v>1331.3100000000002</v>
      </c>
      <c r="AU32" s="47">
        <f t="shared" si="7"/>
        <v>1331.3100000000002</v>
      </c>
      <c r="AV32" s="47">
        <f t="shared" si="7"/>
        <v>1331.3100000000002</v>
      </c>
      <c r="AW32" s="47">
        <f t="shared" si="7"/>
        <v>1331.3100000000002</v>
      </c>
      <c r="AX32" s="47">
        <f t="shared" si="7"/>
        <v>1331.3100000000002</v>
      </c>
      <c r="AY32" s="47">
        <f t="shared" si="7"/>
        <v>1331.3100000000002</v>
      </c>
      <c r="AZ32" s="47">
        <f t="shared" si="7"/>
        <v>1331.3100000000002</v>
      </c>
      <c r="BA32" s="47">
        <f t="shared" si="7"/>
        <v>1331.3100000000002</v>
      </c>
      <c r="BB32" s="47">
        <f t="shared" si="7"/>
        <v>1331.3100000000002</v>
      </c>
      <c r="BC32" s="47">
        <f t="shared" si="7"/>
        <v>1331.3100000000002</v>
      </c>
      <c r="BD32" s="47">
        <f t="shared" si="7"/>
        <v>1331.3100000000002</v>
      </c>
      <c r="BE32" s="47">
        <f t="shared" si="7"/>
        <v>1331.3100000000002</v>
      </c>
      <c r="BF32" s="47">
        <f t="shared" si="7"/>
        <v>1331.3100000000002</v>
      </c>
      <c r="BG32" s="47">
        <f t="shared" si="7"/>
        <v>1331.3100000000002</v>
      </c>
      <c r="BH32" s="47">
        <f t="shared" si="7"/>
        <v>1331.3100000000002</v>
      </c>
      <c r="BI32" s="47">
        <f t="shared" si="7"/>
        <v>1331.3100000000002</v>
      </c>
      <c r="BJ32" s="47">
        <f t="shared" si="7"/>
        <v>1331.3100000000002</v>
      </c>
      <c r="BK32" s="47">
        <f t="shared" si="7"/>
        <v>1331.3100000000002</v>
      </c>
      <c r="BL32" s="47">
        <f t="shared" si="7"/>
        <v>1331.3100000000002</v>
      </c>
      <c r="BM32" s="47">
        <f t="shared" si="7"/>
        <v>1331.3100000000002</v>
      </c>
      <c r="BN32" s="47">
        <f t="shared" si="7"/>
        <v>1331.3100000000002</v>
      </c>
    </row>
    <row r="33" spans="1:66" x14ac:dyDescent="0.35">
      <c r="B33" t="str">
        <f t="shared" si="3"/>
        <v>RM7</v>
      </c>
      <c r="D33" s="47">
        <f t="shared" ref="D33:BN33" si="8">IF(D19&gt;C19,MAX(D19,C33),C33)</f>
        <v>0</v>
      </c>
      <c r="E33" s="47">
        <f t="shared" si="8"/>
        <v>0</v>
      </c>
      <c r="F33" s="47">
        <f t="shared" si="8"/>
        <v>0</v>
      </c>
      <c r="G33" s="47">
        <f t="shared" si="8"/>
        <v>0</v>
      </c>
      <c r="H33" s="47">
        <f t="shared" si="8"/>
        <v>0</v>
      </c>
      <c r="I33" s="47">
        <f t="shared" si="8"/>
        <v>0</v>
      </c>
      <c r="J33" s="47">
        <f t="shared" si="8"/>
        <v>0</v>
      </c>
      <c r="K33" s="47">
        <f t="shared" si="8"/>
        <v>0</v>
      </c>
      <c r="L33" s="47">
        <f t="shared" si="8"/>
        <v>0</v>
      </c>
      <c r="M33" s="47">
        <f t="shared" si="8"/>
        <v>0</v>
      </c>
      <c r="N33" s="47">
        <f t="shared" si="8"/>
        <v>0</v>
      </c>
      <c r="O33" s="47">
        <f t="shared" si="8"/>
        <v>0</v>
      </c>
      <c r="P33" s="47">
        <f t="shared" si="8"/>
        <v>0</v>
      </c>
      <c r="Q33" s="47">
        <f t="shared" si="8"/>
        <v>0</v>
      </c>
      <c r="R33" s="47">
        <f t="shared" si="8"/>
        <v>0</v>
      </c>
      <c r="S33" s="47">
        <f t="shared" si="8"/>
        <v>0</v>
      </c>
      <c r="T33" s="47">
        <f t="shared" si="8"/>
        <v>0</v>
      </c>
      <c r="U33" s="47">
        <f t="shared" si="8"/>
        <v>0</v>
      </c>
      <c r="V33" s="47">
        <f t="shared" si="8"/>
        <v>0</v>
      </c>
      <c r="W33" s="47">
        <f t="shared" si="8"/>
        <v>0</v>
      </c>
      <c r="X33" s="47">
        <f t="shared" si="8"/>
        <v>0</v>
      </c>
      <c r="Y33" s="47">
        <f t="shared" si="8"/>
        <v>0</v>
      </c>
      <c r="Z33" s="47">
        <f t="shared" si="8"/>
        <v>0</v>
      </c>
      <c r="AA33" s="47">
        <f t="shared" si="8"/>
        <v>0</v>
      </c>
      <c r="AB33" s="47">
        <f t="shared" si="8"/>
        <v>0</v>
      </c>
      <c r="AC33" s="47">
        <f t="shared" si="8"/>
        <v>0</v>
      </c>
      <c r="AD33" s="47">
        <f t="shared" si="8"/>
        <v>0</v>
      </c>
      <c r="AE33" s="47">
        <f t="shared" si="8"/>
        <v>0</v>
      </c>
      <c r="AF33" s="47">
        <f t="shared" si="8"/>
        <v>0</v>
      </c>
      <c r="AG33" s="47">
        <f t="shared" si="8"/>
        <v>0</v>
      </c>
      <c r="AH33" s="47">
        <f t="shared" si="8"/>
        <v>0</v>
      </c>
      <c r="AI33" s="47">
        <f t="shared" si="8"/>
        <v>314</v>
      </c>
      <c r="AJ33" s="47">
        <f t="shared" si="8"/>
        <v>314</v>
      </c>
      <c r="AK33" s="47">
        <f t="shared" si="8"/>
        <v>314</v>
      </c>
      <c r="AL33" s="47">
        <f t="shared" si="8"/>
        <v>314</v>
      </c>
      <c r="AM33" s="47">
        <f t="shared" si="8"/>
        <v>314</v>
      </c>
      <c r="AN33" s="47">
        <f t="shared" si="8"/>
        <v>314</v>
      </c>
      <c r="AO33" s="47">
        <f t="shared" si="8"/>
        <v>314</v>
      </c>
      <c r="AP33" s="47">
        <f t="shared" si="8"/>
        <v>338</v>
      </c>
      <c r="AQ33" s="47">
        <f t="shared" si="8"/>
        <v>449</v>
      </c>
      <c r="AR33" s="47">
        <f t="shared" si="8"/>
        <v>477.00299999999999</v>
      </c>
      <c r="AS33" s="47">
        <f t="shared" si="8"/>
        <v>569.90300000000002</v>
      </c>
      <c r="AT33" s="47">
        <f t="shared" si="8"/>
        <v>569.90300000000002</v>
      </c>
      <c r="AU33" s="47">
        <f t="shared" si="8"/>
        <v>569.90300000000002</v>
      </c>
      <c r="AV33" s="47">
        <f t="shared" si="8"/>
        <v>569.90300000000002</v>
      </c>
      <c r="AW33" s="47">
        <f t="shared" si="8"/>
        <v>569.90300000000002</v>
      </c>
      <c r="AX33" s="47">
        <f t="shared" si="8"/>
        <v>569.90300000000002</v>
      </c>
      <c r="AY33" s="47">
        <f t="shared" si="8"/>
        <v>569.90300000000002</v>
      </c>
      <c r="AZ33" s="47">
        <f t="shared" si="8"/>
        <v>569.90300000000002</v>
      </c>
      <c r="BA33" s="47">
        <f t="shared" si="8"/>
        <v>569.90300000000002</v>
      </c>
      <c r="BB33" s="47">
        <f t="shared" si="8"/>
        <v>569.90300000000002</v>
      </c>
      <c r="BC33" s="47">
        <f t="shared" si="8"/>
        <v>569.90300000000002</v>
      </c>
      <c r="BD33" s="47">
        <f t="shared" si="8"/>
        <v>569.90300000000002</v>
      </c>
      <c r="BE33" s="47">
        <f t="shared" si="8"/>
        <v>569.90300000000002</v>
      </c>
      <c r="BF33" s="47">
        <f t="shared" si="8"/>
        <v>569.90300000000002</v>
      </c>
      <c r="BG33" s="47">
        <f t="shared" si="8"/>
        <v>569.90300000000002</v>
      </c>
      <c r="BH33" s="47">
        <f t="shared" si="8"/>
        <v>569.90300000000002</v>
      </c>
      <c r="BI33" s="47">
        <f t="shared" si="8"/>
        <v>569.90300000000002</v>
      </c>
      <c r="BJ33" s="47">
        <f t="shared" si="8"/>
        <v>569.90300000000002</v>
      </c>
      <c r="BK33" s="47">
        <f t="shared" si="8"/>
        <v>569.90300000000002</v>
      </c>
      <c r="BL33" s="47">
        <f t="shared" si="8"/>
        <v>569.90300000000002</v>
      </c>
      <c r="BM33" s="47">
        <f t="shared" si="8"/>
        <v>569.90300000000002</v>
      </c>
      <c r="BN33" s="47">
        <f t="shared" si="8"/>
        <v>569.90300000000002</v>
      </c>
    </row>
    <row r="34" spans="1:66" x14ac:dyDescent="0.35">
      <c r="B34" t="str">
        <f t="shared" si="3"/>
        <v>RM8</v>
      </c>
      <c r="D34" s="47">
        <f t="shared" ref="D34:BN34" si="9">IF(D20&gt;C20,MAX(D20,C34),C34)</f>
        <v>0</v>
      </c>
      <c r="E34" s="47">
        <f t="shared" si="9"/>
        <v>0</v>
      </c>
      <c r="F34" s="47">
        <f t="shared" si="9"/>
        <v>0</v>
      </c>
      <c r="G34" s="47">
        <f t="shared" si="9"/>
        <v>0</v>
      </c>
      <c r="H34" s="47">
        <f t="shared" si="9"/>
        <v>0</v>
      </c>
      <c r="I34" s="47">
        <f t="shared" si="9"/>
        <v>0</v>
      </c>
      <c r="J34" s="47">
        <f t="shared" si="9"/>
        <v>0</v>
      </c>
      <c r="K34" s="47">
        <f t="shared" si="9"/>
        <v>0</v>
      </c>
      <c r="L34" s="47">
        <f t="shared" si="9"/>
        <v>0</v>
      </c>
      <c r="M34" s="47">
        <f t="shared" si="9"/>
        <v>0</v>
      </c>
      <c r="N34" s="47">
        <f t="shared" si="9"/>
        <v>0</v>
      </c>
      <c r="O34" s="47">
        <f t="shared" si="9"/>
        <v>0</v>
      </c>
      <c r="P34" s="47">
        <f t="shared" si="9"/>
        <v>0</v>
      </c>
      <c r="Q34" s="47">
        <f t="shared" si="9"/>
        <v>0</v>
      </c>
      <c r="R34" s="47">
        <f t="shared" si="9"/>
        <v>0</v>
      </c>
      <c r="S34" s="47">
        <f t="shared" si="9"/>
        <v>0</v>
      </c>
      <c r="T34" s="47">
        <f t="shared" si="9"/>
        <v>0</v>
      </c>
      <c r="U34" s="47">
        <f t="shared" si="9"/>
        <v>0</v>
      </c>
      <c r="V34" s="47">
        <f t="shared" si="9"/>
        <v>0</v>
      </c>
      <c r="W34" s="47">
        <f t="shared" si="9"/>
        <v>0</v>
      </c>
      <c r="X34" s="47">
        <f t="shared" si="9"/>
        <v>0</v>
      </c>
      <c r="Y34" s="47">
        <f t="shared" si="9"/>
        <v>0</v>
      </c>
      <c r="Z34" s="47">
        <f t="shared" si="9"/>
        <v>0</v>
      </c>
      <c r="AA34" s="47">
        <f t="shared" si="9"/>
        <v>0</v>
      </c>
      <c r="AB34" s="47">
        <f t="shared" si="9"/>
        <v>0</v>
      </c>
      <c r="AC34" s="47">
        <f t="shared" si="9"/>
        <v>0</v>
      </c>
      <c r="AD34" s="47">
        <f t="shared" si="9"/>
        <v>0</v>
      </c>
      <c r="AE34" s="47">
        <f t="shared" si="9"/>
        <v>0</v>
      </c>
      <c r="AF34" s="47">
        <f t="shared" si="9"/>
        <v>0</v>
      </c>
      <c r="AG34" s="47">
        <f t="shared" si="9"/>
        <v>0</v>
      </c>
      <c r="AH34" s="47">
        <f t="shared" si="9"/>
        <v>40</v>
      </c>
      <c r="AI34" s="47">
        <f t="shared" si="9"/>
        <v>40</v>
      </c>
      <c r="AJ34" s="47">
        <f t="shared" si="9"/>
        <v>40</v>
      </c>
      <c r="AK34" s="47">
        <f t="shared" si="9"/>
        <v>40</v>
      </c>
      <c r="AL34" s="47">
        <f t="shared" si="9"/>
        <v>40</v>
      </c>
      <c r="AM34" s="47">
        <f t="shared" si="9"/>
        <v>182</v>
      </c>
      <c r="AN34" s="47">
        <f t="shared" si="9"/>
        <v>182</v>
      </c>
      <c r="AO34" s="47">
        <f t="shared" si="9"/>
        <v>182</v>
      </c>
      <c r="AP34" s="47">
        <f t="shared" si="9"/>
        <v>182</v>
      </c>
      <c r="AQ34" s="47">
        <f t="shared" si="9"/>
        <v>725</v>
      </c>
      <c r="AR34" s="47">
        <f t="shared" si="9"/>
        <v>725</v>
      </c>
      <c r="AS34" s="47">
        <f t="shared" si="9"/>
        <v>791</v>
      </c>
      <c r="AT34" s="47">
        <f t="shared" si="9"/>
        <v>791</v>
      </c>
      <c r="AU34" s="47">
        <f t="shared" si="9"/>
        <v>791</v>
      </c>
      <c r="AV34" s="47">
        <f t="shared" si="9"/>
        <v>791</v>
      </c>
      <c r="AW34" s="47">
        <f t="shared" si="9"/>
        <v>825</v>
      </c>
      <c r="AX34" s="47">
        <f t="shared" si="9"/>
        <v>825</v>
      </c>
      <c r="AY34" s="47">
        <f t="shared" si="9"/>
        <v>825</v>
      </c>
      <c r="AZ34" s="47">
        <f t="shared" si="9"/>
        <v>1004.1</v>
      </c>
      <c r="BA34" s="47">
        <f t="shared" si="9"/>
        <v>1004.1</v>
      </c>
      <c r="BB34" s="47">
        <f t="shared" si="9"/>
        <v>1331.3999999999999</v>
      </c>
      <c r="BC34" s="47">
        <f t="shared" si="9"/>
        <v>1331.3999999999999</v>
      </c>
      <c r="BD34" s="47">
        <f t="shared" si="9"/>
        <v>1331.3999999999999</v>
      </c>
      <c r="BE34" s="47">
        <f t="shared" si="9"/>
        <v>1331.3999999999999</v>
      </c>
      <c r="BF34" s="47">
        <f t="shared" si="9"/>
        <v>1331.3999999999999</v>
      </c>
      <c r="BG34" s="47">
        <f t="shared" si="9"/>
        <v>1331.3999999999999</v>
      </c>
      <c r="BH34" s="47">
        <f t="shared" si="9"/>
        <v>1331.3999999999999</v>
      </c>
      <c r="BI34" s="47">
        <f t="shared" si="9"/>
        <v>1331.3999999999999</v>
      </c>
      <c r="BJ34" s="47">
        <f t="shared" si="9"/>
        <v>1331.3999999999999</v>
      </c>
      <c r="BK34" s="47">
        <f t="shared" si="9"/>
        <v>1331.3999999999999</v>
      </c>
      <c r="BL34" s="47">
        <f t="shared" si="9"/>
        <v>1331.3999999999999</v>
      </c>
      <c r="BM34" s="47">
        <f t="shared" si="9"/>
        <v>1331.3999999999999</v>
      </c>
      <c r="BN34" s="47">
        <f t="shared" si="9"/>
        <v>1331.3999999999999</v>
      </c>
    </row>
    <row r="35" spans="1:66" x14ac:dyDescent="0.35">
      <c r="B35" t="str">
        <f t="shared" si="3"/>
        <v>RM9</v>
      </c>
      <c r="D35" s="47">
        <f t="shared" ref="D35:BN35" si="10">IF(D21&gt;C21,MAX(D21,C35),C35)</f>
        <v>0</v>
      </c>
      <c r="E35" s="47">
        <f t="shared" si="10"/>
        <v>0</v>
      </c>
      <c r="F35" s="47">
        <f t="shared" si="10"/>
        <v>0</v>
      </c>
      <c r="G35" s="47">
        <f t="shared" si="10"/>
        <v>0</v>
      </c>
      <c r="H35" s="47">
        <f t="shared" si="10"/>
        <v>0</v>
      </c>
      <c r="I35" s="47">
        <f t="shared" si="10"/>
        <v>0</v>
      </c>
      <c r="J35" s="47">
        <f t="shared" si="10"/>
        <v>0</v>
      </c>
      <c r="K35" s="47">
        <f t="shared" si="10"/>
        <v>0</v>
      </c>
      <c r="L35" s="47">
        <f t="shared" si="10"/>
        <v>0</v>
      </c>
      <c r="M35" s="47">
        <f t="shared" si="10"/>
        <v>0</v>
      </c>
      <c r="N35" s="47">
        <f t="shared" si="10"/>
        <v>0</v>
      </c>
      <c r="O35" s="47">
        <f t="shared" si="10"/>
        <v>0</v>
      </c>
      <c r="P35" s="47">
        <f t="shared" si="10"/>
        <v>0</v>
      </c>
      <c r="Q35" s="47">
        <f t="shared" si="10"/>
        <v>0</v>
      </c>
      <c r="R35" s="47">
        <f t="shared" si="10"/>
        <v>0</v>
      </c>
      <c r="S35" s="47">
        <f t="shared" si="10"/>
        <v>0</v>
      </c>
      <c r="T35" s="47">
        <f t="shared" si="10"/>
        <v>0</v>
      </c>
      <c r="U35" s="47">
        <f t="shared" si="10"/>
        <v>0</v>
      </c>
      <c r="V35" s="47">
        <f t="shared" si="10"/>
        <v>0</v>
      </c>
      <c r="W35" s="47">
        <f t="shared" si="10"/>
        <v>0</v>
      </c>
      <c r="X35" s="47">
        <f t="shared" si="10"/>
        <v>0</v>
      </c>
      <c r="Y35" s="47">
        <f t="shared" si="10"/>
        <v>0</v>
      </c>
      <c r="Z35" s="47">
        <f t="shared" si="10"/>
        <v>0</v>
      </c>
      <c r="AA35" s="47">
        <f t="shared" si="10"/>
        <v>0</v>
      </c>
      <c r="AB35" s="47">
        <f t="shared" si="10"/>
        <v>0</v>
      </c>
      <c r="AC35" s="47">
        <f t="shared" si="10"/>
        <v>0</v>
      </c>
      <c r="AD35" s="47">
        <f t="shared" si="10"/>
        <v>0</v>
      </c>
      <c r="AE35" s="47">
        <f t="shared" si="10"/>
        <v>0</v>
      </c>
      <c r="AF35" s="47">
        <f t="shared" si="10"/>
        <v>0</v>
      </c>
      <c r="AG35" s="47">
        <f t="shared" si="10"/>
        <v>0</v>
      </c>
      <c r="AH35" s="47">
        <f t="shared" si="10"/>
        <v>0</v>
      </c>
      <c r="AI35" s="47">
        <f t="shared" si="10"/>
        <v>314</v>
      </c>
      <c r="AJ35" s="47">
        <f t="shared" si="10"/>
        <v>314</v>
      </c>
      <c r="AK35" s="47">
        <f t="shared" si="10"/>
        <v>314</v>
      </c>
      <c r="AL35" s="47">
        <f t="shared" si="10"/>
        <v>314</v>
      </c>
      <c r="AM35" s="47">
        <f t="shared" si="10"/>
        <v>314</v>
      </c>
      <c r="AN35" s="47">
        <f t="shared" si="10"/>
        <v>314</v>
      </c>
      <c r="AO35" s="47">
        <f t="shared" si="10"/>
        <v>314</v>
      </c>
      <c r="AP35" s="47">
        <f t="shared" si="10"/>
        <v>338</v>
      </c>
      <c r="AQ35" s="47">
        <f t="shared" si="10"/>
        <v>449</v>
      </c>
      <c r="AR35" s="47">
        <f t="shared" si="10"/>
        <v>477.00299999999999</v>
      </c>
      <c r="AS35" s="47">
        <f t="shared" si="10"/>
        <v>569.90300000000002</v>
      </c>
      <c r="AT35" s="47">
        <f t="shared" si="10"/>
        <v>569.90300000000002</v>
      </c>
      <c r="AU35" s="47">
        <f t="shared" si="10"/>
        <v>569.90300000000002</v>
      </c>
      <c r="AV35" s="47">
        <f t="shared" si="10"/>
        <v>569.90300000000002</v>
      </c>
      <c r="AW35" s="47">
        <f t="shared" si="10"/>
        <v>569.90300000000002</v>
      </c>
      <c r="AX35" s="47">
        <f t="shared" si="10"/>
        <v>569.90300000000002</v>
      </c>
      <c r="AY35" s="47">
        <f t="shared" si="10"/>
        <v>569.90300000000002</v>
      </c>
      <c r="AZ35" s="47">
        <f t="shared" si="10"/>
        <v>569.90300000000002</v>
      </c>
      <c r="BA35" s="47">
        <f t="shared" si="10"/>
        <v>569.90300000000002</v>
      </c>
      <c r="BB35" s="47">
        <f t="shared" si="10"/>
        <v>569.90300000000002</v>
      </c>
      <c r="BC35" s="47">
        <f t="shared" si="10"/>
        <v>569.90300000000002</v>
      </c>
      <c r="BD35" s="47">
        <f t="shared" si="10"/>
        <v>569.90300000000002</v>
      </c>
      <c r="BE35" s="47">
        <f t="shared" si="10"/>
        <v>569.90300000000002</v>
      </c>
      <c r="BF35" s="47">
        <f t="shared" si="10"/>
        <v>569.90300000000002</v>
      </c>
      <c r="BG35" s="47">
        <f t="shared" si="10"/>
        <v>569.90300000000002</v>
      </c>
      <c r="BH35" s="47">
        <f t="shared" si="10"/>
        <v>569.90300000000002</v>
      </c>
      <c r="BI35" s="47">
        <f t="shared" si="10"/>
        <v>569.90300000000002</v>
      </c>
      <c r="BJ35" s="47">
        <f t="shared" si="10"/>
        <v>569.90300000000002</v>
      </c>
      <c r="BK35" s="47">
        <f t="shared" si="10"/>
        <v>569.90300000000002</v>
      </c>
      <c r="BL35" s="47">
        <f t="shared" si="10"/>
        <v>569.90300000000002</v>
      </c>
      <c r="BM35" s="47">
        <f t="shared" si="10"/>
        <v>569.90300000000002</v>
      </c>
      <c r="BN35" s="47">
        <f t="shared" si="10"/>
        <v>569.90300000000002</v>
      </c>
    </row>
    <row r="36" spans="1:66" x14ac:dyDescent="0.35">
      <c r="B36" t="str">
        <f t="shared" si="3"/>
        <v>RM10</v>
      </c>
      <c r="D36" s="47">
        <f t="shared" ref="D36:BN36" si="11">IF(D22&gt;C22,MAX(D22,C36),C36)</f>
        <v>0</v>
      </c>
      <c r="E36" s="47">
        <f t="shared" si="11"/>
        <v>0</v>
      </c>
      <c r="F36" s="47">
        <f t="shared" si="11"/>
        <v>0</v>
      </c>
      <c r="G36" s="47">
        <f t="shared" si="11"/>
        <v>0</v>
      </c>
      <c r="H36" s="47">
        <f t="shared" si="11"/>
        <v>0</v>
      </c>
      <c r="I36" s="47">
        <f t="shared" si="11"/>
        <v>0</v>
      </c>
      <c r="J36" s="47">
        <f t="shared" si="11"/>
        <v>0</v>
      </c>
      <c r="K36" s="47">
        <f t="shared" si="11"/>
        <v>0</v>
      </c>
      <c r="L36" s="47">
        <f t="shared" si="11"/>
        <v>0</v>
      </c>
      <c r="M36" s="47">
        <f t="shared" si="11"/>
        <v>0</v>
      </c>
      <c r="N36" s="47">
        <f t="shared" si="11"/>
        <v>0</v>
      </c>
      <c r="O36" s="47">
        <f t="shared" si="11"/>
        <v>0</v>
      </c>
      <c r="P36" s="47">
        <f t="shared" si="11"/>
        <v>0</v>
      </c>
      <c r="Q36" s="47">
        <f t="shared" si="11"/>
        <v>0</v>
      </c>
      <c r="R36" s="47">
        <f t="shared" si="11"/>
        <v>0</v>
      </c>
      <c r="S36" s="47">
        <f t="shared" si="11"/>
        <v>0</v>
      </c>
      <c r="T36" s="47">
        <f t="shared" si="11"/>
        <v>0</v>
      </c>
      <c r="U36" s="47">
        <f t="shared" si="11"/>
        <v>0</v>
      </c>
      <c r="V36" s="47">
        <f t="shared" si="11"/>
        <v>0</v>
      </c>
      <c r="W36" s="47">
        <f t="shared" si="11"/>
        <v>0</v>
      </c>
      <c r="X36" s="47">
        <f t="shared" si="11"/>
        <v>0</v>
      </c>
      <c r="Y36" s="47">
        <f t="shared" si="11"/>
        <v>0</v>
      </c>
      <c r="Z36" s="47">
        <f t="shared" si="11"/>
        <v>0</v>
      </c>
      <c r="AA36" s="47">
        <f t="shared" si="11"/>
        <v>0</v>
      </c>
      <c r="AB36" s="47">
        <f t="shared" si="11"/>
        <v>0</v>
      </c>
      <c r="AC36" s="47">
        <f t="shared" si="11"/>
        <v>0</v>
      </c>
      <c r="AD36" s="47">
        <f t="shared" si="11"/>
        <v>0</v>
      </c>
      <c r="AE36" s="47">
        <f t="shared" si="11"/>
        <v>0</v>
      </c>
      <c r="AF36" s="47">
        <f t="shared" si="11"/>
        <v>0</v>
      </c>
      <c r="AG36" s="47">
        <f t="shared" si="11"/>
        <v>0</v>
      </c>
      <c r="AH36" s="47">
        <f t="shared" si="11"/>
        <v>40</v>
      </c>
      <c r="AI36" s="47">
        <f t="shared" si="11"/>
        <v>40</v>
      </c>
      <c r="AJ36" s="47">
        <f t="shared" si="11"/>
        <v>40</v>
      </c>
      <c r="AK36" s="47">
        <f t="shared" si="11"/>
        <v>40</v>
      </c>
      <c r="AL36" s="47">
        <f t="shared" si="11"/>
        <v>40</v>
      </c>
      <c r="AM36" s="47">
        <f t="shared" si="11"/>
        <v>182</v>
      </c>
      <c r="AN36" s="47">
        <f t="shared" si="11"/>
        <v>182</v>
      </c>
      <c r="AO36" s="47">
        <f t="shared" si="11"/>
        <v>182</v>
      </c>
      <c r="AP36" s="47">
        <f t="shared" si="11"/>
        <v>182</v>
      </c>
      <c r="AQ36" s="47">
        <f t="shared" si="11"/>
        <v>725</v>
      </c>
      <c r="AR36" s="47">
        <f t="shared" si="11"/>
        <v>725</v>
      </c>
      <c r="AS36" s="47">
        <f t="shared" si="11"/>
        <v>791</v>
      </c>
      <c r="AT36" s="47">
        <f t="shared" si="11"/>
        <v>791</v>
      </c>
      <c r="AU36" s="47">
        <f t="shared" si="11"/>
        <v>791</v>
      </c>
      <c r="AV36" s="47">
        <f t="shared" si="11"/>
        <v>791</v>
      </c>
      <c r="AW36" s="47">
        <f t="shared" si="11"/>
        <v>825</v>
      </c>
      <c r="AX36" s="47">
        <f t="shared" si="11"/>
        <v>825</v>
      </c>
      <c r="AY36" s="47">
        <f t="shared" si="11"/>
        <v>825</v>
      </c>
      <c r="AZ36" s="47">
        <f t="shared" si="11"/>
        <v>1004.1</v>
      </c>
      <c r="BA36" s="47">
        <f t="shared" si="11"/>
        <v>1004.1</v>
      </c>
      <c r="BB36" s="47">
        <f t="shared" si="11"/>
        <v>1331.3999999999999</v>
      </c>
      <c r="BC36" s="47">
        <f t="shared" si="11"/>
        <v>1331.3999999999999</v>
      </c>
      <c r="BD36" s="47">
        <f t="shared" si="11"/>
        <v>1331.3999999999999</v>
      </c>
      <c r="BE36" s="47">
        <f t="shared" si="11"/>
        <v>1331.3999999999999</v>
      </c>
      <c r="BF36" s="47">
        <f t="shared" si="11"/>
        <v>1331.3999999999999</v>
      </c>
      <c r="BG36" s="47">
        <f t="shared" si="11"/>
        <v>1331.3999999999999</v>
      </c>
      <c r="BH36" s="47">
        <f t="shared" si="11"/>
        <v>1331.3999999999999</v>
      </c>
      <c r="BI36" s="47">
        <f t="shared" si="11"/>
        <v>1331.3999999999999</v>
      </c>
      <c r="BJ36" s="47">
        <f t="shared" si="11"/>
        <v>1331.3999999999999</v>
      </c>
      <c r="BK36" s="47">
        <f t="shared" si="11"/>
        <v>1331.3999999999999</v>
      </c>
      <c r="BL36" s="47">
        <f t="shared" si="11"/>
        <v>1331.3999999999999</v>
      </c>
      <c r="BM36" s="47">
        <f t="shared" si="11"/>
        <v>1331.3999999999999</v>
      </c>
      <c r="BN36" s="47">
        <f t="shared" si="11"/>
        <v>1331.3999999999999</v>
      </c>
    </row>
    <row r="37" spans="1:66" x14ac:dyDescent="0.35">
      <c r="B37" t="str">
        <f t="shared" si="3"/>
        <v>MM1</v>
      </c>
      <c r="D37" s="47">
        <f t="shared" ref="D37:BN37" si="12">IF(D23&gt;C23,MAX(D23,C37),C37)</f>
        <v>0</v>
      </c>
      <c r="E37" s="47">
        <f t="shared" si="12"/>
        <v>0</v>
      </c>
      <c r="F37" s="47">
        <f t="shared" si="12"/>
        <v>0</v>
      </c>
      <c r="G37" s="47">
        <f t="shared" si="12"/>
        <v>0</v>
      </c>
      <c r="H37" s="47">
        <f t="shared" si="12"/>
        <v>0</v>
      </c>
      <c r="I37" s="47">
        <f t="shared" si="12"/>
        <v>0</v>
      </c>
      <c r="J37" s="47">
        <f t="shared" si="12"/>
        <v>0</v>
      </c>
      <c r="K37" s="47">
        <f t="shared" si="12"/>
        <v>0</v>
      </c>
      <c r="L37" s="47">
        <f t="shared" si="12"/>
        <v>0</v>
      </c>
      <c r="M37" s="47">
        <f t="shared" si="12"/>
        <v>0</v>
      </c>
      <c r="N37" s="47">
        <f t="shared" si="12"/>
        <v>0</v>
      </c>
      <c r="O37" s="47">
        <f t="shared" si="12"/>
        <v>0</v>
      </c>
      <c r="P37" s="47">
        <f t="shared" si="12"/>
        <v>0</v>
      </c>
      <c r="Q37" s="47">
        <f t="shared" si="12"/>
        <v>0</v>
      </c>
      <c r="R37" s="47">
        <f t="shared" si="12"/>
        <v>0</v>
      </c>
      <c r="S37" s="47">
        <f t="shared" si="12"/>
        <v>0</v>
      </c>
      <c r="T37" s="47">
        <f t="shared" si="12"/>
        <v>0</v>
      </c>
      <c r="U37" s="47">
        <f t="shared" si="12"/>
        <v>0</v>
      </c>
      <c r="V37" s="47">
        <f t="shared" si="12"/>
        <v>0</v>
      </c>
      <c r="W37" s="47">
        <f t="shared" si="12"/>
        <v>0</v>
      </c>
      <c r="X37" s="47">
        <f t="shared" si="12"/>
        <v>0</v>
      </c>
      <c r="Y37" s="47">
        <f t="shared" si="12"/>
        <v>0</v>
      </c>
      <c r="Z37" s="47">
        <f t="shared" si="12"/>
        <v>0</v>
      </c>
      <c r="AA37" s="47">
        <f t="shared" si="12"/>
        <v>0</v>
      </c>
      <c r="AB37" s="47">
        <f t="shared" si="12"/>
        <v>0</v>
      </c>
      <c r="AC37" s="47">
        <f t="shared" si="12"/>
        <v>0</v>
      </c>
      <c r="AD37" s="47">
        <f t="shared" si="12"/>
        <v>0</v>
      </c>
      <c r="AE37" s="47">
        <f t="shared" si="12"/>
        <v>171.56</v>
      </c>
      <c r="AF37" s="47">
        <f t="shared" si="12"/>
        <v>171.56</v>
      </c>
      <c r="AG37" s="47">
        <f t="shared" si="12"/>
        <v>171.56</v>
      </c>
      <c r="AH37" s="47">
        <f t="shared" si="12"/>
        <v>171.56</v>
      </c>
      <c r="AI37" s="47">
        <f t="shared" si="12"/>
        <v>171.56</v>
      </c>
      <c r="AJ37" s="47">
        <f t="shared" si="12"/>
        <v>171.56</v>
      </c>
      <c r="AK37" s="47">
        <f t="shared" si="12"/>
        <v>171.56</v>
      </c>
      <c r="AL37" s="47">
        <f t="shared" si="12"/>
        <v>171.56</v>
      </c>
      <c r="AM37" s="47">
        <f t="shared" si="12"/>
        <v>171.56</v>
      </c>
      <c r="AN37" s="47">
        <f t="shared" si="12"/>
        <v>171.56</v>
      </c>
      <c r="AO37" s="47">
        <f t="shared" si="12"/>
        <v>171.56</v>
      </c>
      <c r="AP37" s="47">
        <f t="shared" si="12"/>
        <v>171.56</v>
      </c>
      <c r="AQ37" s="47">
        <f t="shared" si="12"/>
        <v>171.56</v>
      </c>
      <c r="AR37" s="47">
        <f t="shared" si="12"/>
        <v>171.56</v>
      </c>
      <c r="AS37" s="47">
        <f t="shared" si="12"/>
        <v>171.56</v>
      </c>
      <c r="AT37" s="47">
        <f t="shared" si="12"/>
        <v>171.56</v>
      </c>
      <c r="AU37" s="47">
        <f t="shared" si="12"/>
        <v>171.56</v>
      </c>
      <c r="AV37" s="47">
        <f t="shared" si="12"/>
        <v>171.56</v>
      </c>
      <c r="AW37" s="47">
        <f t="shared" si="12"/>
        <v>171.56</v>
      </c>
      <c r="AX37" s="47">
        <f t="shared" si="12"/>
        <v>171.56</v>
      </c>
      <c r="AY37" s="47">
        <f t="shared" si="12"/>
        <v>171.56</v>
      </c>
      <c r="AZ37" s="47">
        <f t="shared" si="12"/>
        <v>171.56</v>
      </c>
      <c r="BA37" s="47">
        <f t="shared" si="12"/>
        <v>171.56</v>
      </c>
      <c r="BB37" s="47">
        <f t="shared" si="12"/>
        <v>171.56</v>
      </c>
      <c r="BC37" s="47">
        <f t="shared" si="12"/>
        <v>171.56</v>
      </c>
      <c r="BD37" s="47">
        <f t="shared" si="12"/>
        <v>171.56</v>
      </c>
      <c r="BE37" s="47">
        <f t="shared" si="12"/>
        <v>171.56</v>
      </c>
      <c r="BF37" s="47">
        <f t="shared" si="12"/>
        <v>171.56</v>
      </c>
      <c r="BG37" s="47">
        <f t="shared" si="12"/>
        <v>171.56</v>
      </c>
      <c r="BH37" s="47">
        <f t="shared" si="12"/>
        <v>171.56</v>
      </c>
      <c r="BI37" s="47">
        <f t="shared" si="12"/>
        <v>171.56</v>
      </c>
      <c r="BJ37" s="47">
        <f t="shared" si="12"/>
        <v>171.56</v>
      </c>
      <c r="BK37" s="47">
        <f t="shared" si="12"/>
        <v>171.56</v>
      </c>
      <c r="BL37" s="47">
        <f t="shared" si="12"/>
        <v>171.56</v>
      </c>
      <c r="BM37" s="47">
        <f t="shared" si="12"/>
        <v>171.56</v>
      </c>
      <c r="BN37" s="47">
        <f t="shared" si="12"/>
        <v>171.56</v>
      </c>
    </row>
    <row r="38" spans="1:66" x14ac:dyDescent="0.35">
      <c r="B38" t="str">
        <f t="shared" si="3"/>
        <v>MM2</v>
      </c>
      <c r="D38" s="47">
        <f t="shared" ref="D38:BN38" si="13">IF(D24&gt;C24,MAX(D24,C38),C38)</f>
        <v>0</v>
      </c>
      <c r="E38" s="47">
        <f t="shared" si="13"/>
        <v>0</v>
      </c>
      <c r="F38" s="47">
        <f t="shared" si="13"/>
        <v>0</v>
      </c>
      <c r="G38" s="47">
        <f t="shared" si="13"/>
        <v>0</v>
      </c>
      <c r="H38" s="47">
        <f t="shared" si="13"/>
        <v>0</v>
      </c>
      <c r="I38" s="47">
        <f t="shared" si="13"/>
        <v>0</v>
      </c>
      <c r="J38" s="47">
        <f t="shared" si="13"/>
        <v>0</v>
      </c>
      <c r="K38" s="47">
        <f t="shared" si="13"/>
        <v>0</v>
      </c>
      <c r="L38" s="47">
        <f t="shared" si="13"/>
        <v>0</v>
      </c>
      <c r="M38" s="47">
        <f t="shared" si="13"/>
        <v>0</v>
      </c>
      <c r="N38" s="47">
        <f t="shared" si="13"/>
        <v>0</v>
      </c>
      <c r="O38" s="47">
        <f t="shared" si="13"/>
        <v>0</v>
      </c>
      <c r="P38" s="47">
        <f t="shared" si="13"/>
        <v>0</v>
      </c>
      <c r="Q38" s="47">
        <f t="shared" si="13"/>
        <v>0</v>
      </c>
      <c r="R38" s="47">
        <f t="shared" si="13"/>
        <v>0</v>
      </c>
      <c r="S38" s="47">
        <f t="shared" si="13"/>
        <v>0</v>
      </c>
      <c r="T38" s="47">
        <f t="shared" si="13"/>
        <v>0</v>
      </c>
      <c r="U38" s="47">
        <f t="shared" si="13"/>
        <v>0</v>
      </c>
      <c r="V38" s="47">
        <f t="shared" si="13"/>
        <v>0</v>
      </c>
      <c r="W38" s="47">
        <f t="shared" si="13"/>
        <v>0</v>
      </c>
      <c r="X38" s="47">
        <f t="shared" si="13"/>
        <v>0</v>
      </c>
      <c r="Y38" s="47">
        <f t="shared" si="13"/>
        <v>0</v>
      </c>
      <c r="Z38" s="47">
        <f t="shared" si="13"/>
        <v>0</v>
      </c>
      <c r="AA38" s="47">
        <f t="shared" si="13"/>
        <v>0</v>
      </c>
      <c r="AB38" s="47">
        <f t="shared" si="13"/>
        <v>0</v>
      </c>
      <c r="AC38" s="47">
        <f t="shared" si="13"/>
        <v>0</v>
      </c>
      <c r="AD38" s="47">
        <f t="shared" si="13"/>
        <v>0</v>
      </c>
      <c r="AE38" s="47">
        <f t="shared" si="13"/>
        <v>171.56</v>
      </c>
      <c r="AF38" s="47">
        <f t="shared" si="13"/>
        <v>171.56</v>
      </c>
      <c r="AG38" s="47">
        <f t="shared" si="13"/>
        <v>171.56</v>
      </c>
      <c r="AH38" s="47">
        <f t="shared" si="13"/>
        <v>171.56</v>
      </c>
      <c r="AI38" s="47">
        <f t="shared" si="13"/>
        <v>171.56</v>
      </c>
      <c r="AJ38" s="47">
        <f t="shared" si="13"/>
        <v>171.56</v>
      </c>
      <c r="AK38" s="47">
        <f t="shared" si="13"/>
        <v>171.56</v>
      </c>
      <c r="AL38" s="47">
        <f t="shared" si="13"/>
        <v>171.56</v>
      </c>
      <c r="AM38" s="47">
        <f t="shared" si="13"/>
        <v>171.56</v>
      </c>
      <c r="AN38" s="47">
        <f t="shared" si="13"/>
        <v>171.56</v>
      </c>
      <c r="AO38" s="47">
        <f t="shared" si="13"/>
        <v>171.56</v>
      </c>
      <c r="AP38" s="47">
        <f t="shared" si="13"/>
        <v>171.56</v>
      </c>
      <c r="AQ38" s="47">
        <f t="shared" si="13"/>
        <v>171.56</v>
      </c>
      <c r="AR38" s="47">
        <f t="shared" si="13"/>
        <v>171.56</v>
      </c>
      <c r="AS38" s="47">
        <f t="shared" si="13"/>
        <v>171.56</v>
      </c>
      <c r="AT38" s="47">
        <f t="shared" si="13"/>
        <v>171.56</v>
      </c>
      <c r="AU38" s="47">
        <f t="shared" si="13"/>
        <v>171.56</v>
      </c>
      <c r="AV38" s="47">
        <f t="shared" si="13"/>
        <v>171.56</v>
      </c>
      <c r="AW38" s="47">
        <f t="shared" si="13"/>
        <v>171.56</v>
      </c>
      <c r="AX38" s="47">
        <f t="shared" si="13"/>
        <v>171.56</v>
      </c>
      <c r="AY38" s="47">
        <f t="shared" si="13"/>
        <v>171.56</v>
      </c>
      <c r="AZ38" s="47">
        <f t="shared" si="13"/>
        <v>171.56</v>
      </c>
      <c r="BA38" s="47">
        <f t="shared" si="13"/>
        <v>171.56</v>
      </c>
      <c r="BB38" s="47">
        <f t="shared" si="13"/>
        <v>171.56</v>
      </c>
      <c r="BC38" s="47">
        <f t="shared" si="13"/>
        <v>171.56</v>
      </c>
      <c r="BD38" s="47">
        <f t="shared" si="13"/>
        <v>171.56</v>
      </c>
      <c r="BE38" s="47">
        <f t="shared" si="13"/>
        <v>171.56</v>
      </c>
      <c r="BF38" s="47">
        <f t="shared" si="13"/>
        <v>171.56</v>
      </c>
      <c r="BG38" s="47">
        <f t="shared" si="13"/>
        <v>171.56</v>
      </c>
      <c r="BH38" s="47">
        <f t="shared" si="13"/>
        <v>171.56</v>
      </c>
      <c r="BI38" s="47">
        <f t="shared" si="13"/>
        <v>171.56</v>
      </c>
      <c r="BJ38" s="47">
        <f t="shared" si="13"/>
        <v>171.56</v>
      </c>
      <c r="BK38" s="47">
        <f t="shared" si="13"/>
        <v>171.56</v>
      </c>
      <c r="BL38" s="47">
        <f t="shared" si="13"/>
        <v>171.56</v>
      </c>
      <c r="BM38" s="47">
        <f t="shared" si="13"/>
        <v>171.56</v>
      </c>
      <c r="BN38" s="47">
        <f t="shared" si="13"/>
        <v>171.56</v>
      </c>
    </row>
    <row r="39" spans="1:66" x14ac:dyDescent="0.35">
      <c r="B39" t="str">
        <f t="shared" si="3"/>
        <v>MM3</v>
      </c>
      <c r="D39" s="47">
        <f t="shared" ref="D39:BN39" si="14">IF(D25&gt;C25,MAX(D25,C39),C39)</f>
        <v>0</v>
      </c>
      <c r="E39" s="47">
        <f t="shared" si="14"/>
        <v>0</v>
      </c>
      <c r="F39" s="47">
        <f t="shared" si="14"/>
        <v>0</v>
      </c>
      <c r="G39" s="47">
        <f t="shared" si="14"/>
        <v>0</v>
      </c>
      <c r="H39" s="47">
        <f t="shared" si="14"/>
        <v>0</v>
      </c>
      <c r="I39" s="47">
        <f t="shared" si="14"/>
        <v>0</v>
      </c>
      <c r="J39" s="47">
        <f t="shared" si="14"/>
        <v>0</v>
      </c>
      <c r="K39" s="47">
        <f t="shared" si="14"/>
        <v>0</v>
      </c>
      <c r="L39" s="47">
        <f t="shared" si="14"/>
        <v>0</v>
      </c>
      <c r="M39" s="47">
        <f t="shared" si="14"/>
        <v>0</v>
      </c>
      <c r="N39" s="47">
        <f t="shared" si="14"/>
        <v>0</v>
      </c>
      <c r="O39" s="47">
        <f t="shared" si="14"/>
        <v>0</v>
      </c>
      <c r="P39" s="47">
        <f t="shared" si="14"/>
        <v>0</v>
      </c>
      <c r="Q39" s="47">
        <f t="shared" si="14"/>
        <v>0</v>
      </c>
      <c r="R39" s="47">
        <f t="shared" si="14"/>
        <v>0</v>
      </c>
      <c r="S39" s="47">
        <f t="shared" si="14"/>
        <v>0</v>
      </c>
      <c r="T39" s="47">
        <f t="shared" si="14"/>
        <v>0</v>
      </c>
      <c r="U39" s="47">
        <f t="shared" si="14"/>
        <v>0</v>
      </c>
      <c r="V39" s="47">
        <f t="shared" si="14"/>
        <v>0</v>
      </c>
      <c r="W39" s="47">
        <f t="shared" si="14"/>
        <v>0</v>
      </c>
      <c r="X39" s="47">
        <f t="shared" si="14"/>
        <v>0</v>
      </c>
      <c r="Y39" s="47">
        <f t="shared" si="14"/>
        <v>0</v>
      </c>
      <c r="Z39" s="47">
        <f t="shared" si="14"/>
        <v>0</v>
      </c>
      <c r="AA39" s="47">
        <f t="shared" si="14"/>
        <v>0</v>
      </c>
      <c r="AB39" s="47">
        <f t="shared" si="14"/>
        <v>0</v>
      </c>
      <c r="AC39" s="47">
        <f t="shared" si="14"/>
        <v>0</v>
      </c>
      <c r="AD39" s="47">
        <f t="shared" si="14"/>
        <v>0</v>
      </c>
      <c r="AE39" s="47">
        <f t="shared" si="14"/>
        <v>0</v>
      </c>
      <c r="AF39" s="47">
        <f t="shared" si="14"/>
        <v>0</v>
      </c>
      <c r="AG39" s="47">
        <f t="shared" si="14"/>
        <v>171.56</v>
      </c>
      <c r="AH39" s="47">
        <f t="shared" si="14"/>
        <v>171.56</v>
      </c>
      <c r="AI39" s="47">
        <f t="shared" si="14"/>
        <v>171.56</v>
      </c>
      <c r="AJ39" s="47">
        <f t="shared" si="14"/>
        <v>171.56</v>
      </c>
      <c r="AK39" s="47">
        <f t="shared" si="14"/>
        <v>171.56</v>
      </c>
      <c r="AL39" s="47">
        <f t="shared" si="14"/>
        <v>171.56</v>
      </c>
      <c r="AM39" s="47">
        <f t="shared" si="14"/>
        <v>171.56</v>
      </c>
      <c r="AN39" s="47">
        <f t="shared" si="14"/>
        <v>171.56</v>
      </c>
      <c r="AO39" s="47">
        <f t="shared" si="14"/>
        <v>171.56</v>
      </c>
      <c r="AP39" s="47">
        <f t="shared" si="14"/>
        <v>171.56</v>
      </c>
      <c r="AQ39" s="47">
        <f t="shared" si="14"/>
        <v>171.56</v>
      </c>
      <c r="AR39" s="47">
        <f t="shared" si="14"/>
        <v>171.56</v>
      </c>
      <c r="AS39" s="47">
        <f t="shared" si="14"/>
        <v>171.56</v>
      </c>
      <c r="AT39" s="47">
        <f t="shared" si="14"/>
        <v>171.56</v>
      </c>
      <c r="AU39" s="47">
        <f t="shared" si="14"/>
        <v>171.56</v>
      </c>
      <c r="AV39" s="47">
        <f t="shared" si="14"/>
        <v>171.56</v>
      </c>
      <c r="AW39" s="47">
        <f t="shared" si="14"/>
        <v>171.56</v>
      </c>
      <c r="AX39" s="47">
        <f t="shared" si="14"/>
        <v>171.56</v>
      </c>
      <c r="AY39" s="47">
        <f t="shared" si="14"/>
        <v>171.56</v>
      </c>
      <c r="AZ39" s="47">
        <f t="shared" si="14"/>
        <v>171.56</v>
      </c>
      <c r="BA39" s="47">
        <f t="shared" si="14"/>
        <v>171.56</v>
      </c>
      <c r="BB39" s="47">
        <f t="shared" si="14"/>
        <v>171.56</v>
      </c>
      <c r="BC39" s="47">
        <f t="shared" si="14"/>
        <v>171.56</v>
      </c>
      <c r="BD39" s="47">
        <f t="shared" si="14"/>
        <v>171.56</v>
      </c>
      <c r="BE39" s="47">
        <f t="shared" si="14"/>
        <v>171.56</v>
      </c>
      <c r="BF39" s="47">
        <f t="shared" si="14"/>
        <v>171.56</v>
      </c>
      <c r="BG39" s="47">
        <f t="shared" si="14"/>
        <v>171.56</v>
      </c>
      <c r="BH39" s="47">
        <f t="shared" si="14"/>
        <v>171.56</v>
      </c>
      <c r="BI39" s="47">
        <f t="shared" si="14"/>
        <v>171.56</v>
      </c>
      <c r="BJ39" s="47">
        <f t="shared" si="14"/>
        <v>171.56</v>
      </c>
      <c r="BK39" s="47">
        <f t="shared" si="14"/>
        <v>171.56</v>
      </c>
      <c r="BL39" s="47">
        <f t="shared" si="14"/>
        <v>171.56</v>
      </c>
      <c r="BM39" s="47">
        <f t="shared" si="14"/>
        <v>171.56</v>
      </c>
      <c r="BN39" s="47">
        <f t="shared" si="14"/>
        <v>171.56</v>
      </c>
    </row>
    <row r="40" spans="1:66" x14ac:dyDescent="0.35">
      <c r="A40" s="2" t="s">
        <v>103</v>
      </c>
      <c r="D40" s="47"/>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47"/>
      <c r="BE40" s="47"/>
      <c r="BF40" s="47"/>
      <c r="BG40" s="47"/>
      <c r="BH40" s="47"/>
      <c r="BI40" s="47"/>
      <c r="BJ40" s="47"/>
      <c r="BK40" s="47"/>
      <c r="BL40" s="47"/>
      <c r="BM40" s="47"/>
      <c r="BN40" s="47"/>
    </row>
    <row r="41" spans="1:66" x14ac:dyDescent="0.35">
      <c r="A41" t="s">
        <v>104</v>
      </c>
      <c r="D41" s="47">
        <f t="shared" ref="D41:AI41" si="15">SUM(D5:D9)+C41</f>
        <v>0</v>
      </c>
      <c r="E41" s="47">
        <f t="shared" si="15"/>
        <v>729.56120186411579</v>
      </c>
      <c r="F41" s="47">
        <f t="shared" si="15"/>
        <v>903.65681792167447</v>
      </c>
      <c r="G41" s="47">
        <f t="shared" si="15"/>
        <v>967.03631796255422</v>
      </c>
      <c r="H41" s="47">
        <f t="shared" si="15"/>
        <v>1198.0823657100809</v>
      </c>
      <c r="I41" s="47">
        <f t="shared" si="15"/>
        <v>1379.2096226800752</v>
      </c>
      <c r="J41" s="47">
        <f t="shared" si="15"/>
        <v>1410.3011949145614</v>
      </c>
      <c r="K41" s="47">
        <f t="shared" si="15"/>
        <v>1457.854619818494</v>
      </c>
      <c r="L41" s="47">
        <f t="shared" si="15"/>
        <v>1490.5185450903443</v>
      </c>
      <c r="M41" s="47">
        <f t="shared" si="15"/>
        <v>1519.6900887090183</v>
      </c>
      <c r="N41" s="47">
        <f t="shared" si="15"/>
        <v>1544.8985213801</v>
      </c>
      <c r="O41" s="47">
        <f t="shared" si="15"/>
        <v>1569.8715894039738</v>
      </c>
      <c r="P41" s="47">
        <f t="shared" si="15"/>
        <v>1743.7348311667079</v>
      </c>
      <c r="Q41" s="47">
        <f t="shared" si="15"/>
        <v>1946.8652644918652</v>
      </c>
      <c r="R41" s="47">
        <f t="shared" si="15"/>
        <v>1965.7784253127302</v>
      </c>
      <c r="S41" s="47">
        <f t="shared" si="15"/>
        <v>1995.4001892731585</v>
      </c>
      <c r="T41" s="47">
        <f t="shared" si="15"/>
        <v>2023.3470554329165</v>
      </c>
      <c r="U41" s="47">
        <f t="shared" si="15"/>
        <v>2058.4368968195572</v>
      </c>
      <c r="V41" s="47">
        <f t="shared" si="15"/>
        <v>2071.1944419916608</v>
      </c>
      <c r="W41" s="47">
        <f t="shared" si="15"/>
        <v>2072.8000000000002</v>
      </c>
      <c r="X41" s="47">
        <f t="shared" si="15"/>
        <v>2072.8000000000002</v>
      </c>
      <c r="Y41" s="47">
        <f t="shared" si="15"/>
        <v>2072.8000000000002</v>
      </c>
      <c r="Z41" s="47">
        <f t="shared" si="15"/>
        <v>2072.8000000000002</v>
      </c>
      <c r="AA41" s="47">
        <f t="shared" si="15"/>
        <v>2072.8000000000002</v>
      </c>
      <c r="AB41" s="47">
        <f t="shared" si="15"/>
        <v>2072.8000000000002</v>
      </c>
      <c r="AC41" s="47">
        <f t="shared" si="15"/>
        <v>2072.8000000000002</v>
      </c>
      <c r="AD41" s="47">
        <f t="shared" si="15"/>
        <v>2072.8000000000002</v>
      </c>
      <c r="AE41" s="47">
        <f t="shared" si="15"/>
        <v>2072.8000000000002</v>
      </c>
      <c r="AF41" s="47">
        <f t="shared" si="15"/>
        <v>2072.8000000000002</v>
      </c>
      <c r="AG41" s="47">
        <f t="shared" si="15"/>
        <v>2072.8000000000002</v>
      </c>
      <c r="AH41" s="47">
        <f t="shared" si="15"/>
        <v>2072.8000000000002</v>
      </c>
      <c r="AI41" s="47">
        <f t="shared" si="15"/>
        <v>2072.8000000000002</v>
      </c>
      <c r="AJ41" s="47">
        <f t="shared" ref="AJ41:BN41" si="16">SUM(AJ5:AJ9)+AI41</f>
        <v>2072.8000000000002</v>
      </c>
      <c r="AK41" s="47">
        <f t="shared" si="16"/>
        <v>2072.8000000000002</v>
      </c>
      <c r="AL41" s="47">
        <f t="shared" si="16"/>
        <v>2072.8000000000002</v>
      </c>
      <c r="AM41" s="47">
        <f t="shared" si="16"/>
        <v>2072.8000000000002</v>
      </c>
      <c r="AN41" s="47">
        <f t="shared" si="16"/>
        <v>2072.8000000000002</v>
      </c>
      <c r="AO41" s="47">
        <f t="shared" si="16"/>
        <v>2072.8000000000002</v>
      </c>
      <c r="AP41" s="47">
        <f t="shared" si="16"/>
        <v>2072.8000000000002</v>
      </c>
      <c r="AQ41" s="47">
        <f t="shared" si="16"/>
        <v>2072.8000000000002</v>
      </c>
      <c r="AR41" s="47">
        <f t="shared" si="16"/>
        <v>2072.8000000000002</v>
      </c>
      <c r="AS41" s="47">
        <f t="shared" si="16"/>
        <v>2072.8000000000002</v>
      </c>
      <c r="AT41" s="47">
        <f t="shared" si="16"/>
        <v>2072.8000000000002</v>
      </c>
      <c r="AU41" s="47">
        <f t="shared" si="16"/>
        <v>2072.8000000000002</v>
      </c>
      <c r="AV41" s="47">
        <f t="shared" si="16"/>
        <v>2072.8000000000002</v>
      </c>
      <c r="AW41" s="47">
        <f t="shared" si="16"/>
        <v>2072.8000000000002</v>
      </c>
      <c r="AX41" s="47">
        <f t="shared" si="16"/>
        <v>2072.8000000000002</v>
      </c>
      <c r="AY41" s="47">
        <f t="shared" si="16"/>
        <v>2072.8000000000002</v>
      </c>
      <c r="AZ41" s="47">
        <f t="shared" si="16"/>
        <v>2072.8000000000002</v>
      </c>
      <c r="BA41" s="47">
        <f t="shared" si="16"/>
        <v>2072.8000000000002</v>
      </c>
      <c r="BB41" s="47">
        <f t="shared" si="16"/>
        <v>2072.8000000000002</v>
      </c>
      <c r="BC41" s="47">
        <f t="shared" si="16"/>
        <v>2072.8000000000002</v>
      </c>
      <c r="BD41" s="47">
        <f t="shared" si="16"/>
        <v>2072.8000000000002</v>
      </c>
      <c r="BE41" s="47">
        <f t="shared" si="16"/>
        <v>2072.8000000000002</v>
      </c>
      <c r="BF41" s="47">
        <f t="shared" si="16"/>
        <v>2072.8000000000002</v>
      </c>
      <c r="BG41" s="47">
        <f t="shared" si="16"/>
        <v>2072.8000000000002</v>
      </c>
      <c r="BH41" s="47">
        <f t="shared" si="16"/>
        <v>2072.8000000000002</v>
      </c>
      <c r="BI41" s="47">
        <f t="shared" si="16"/>
        <v>2072.8000000000002</v>
      </c>
      <c r="BJ41" s="47">
        <f t="shared" si="16"/>
        <v>2072.8000000000002</v>
      </c>
      <c r="BK41" s="47">
        <f t="shared" si="16"/>
        <v>2072.8000000000002</v>
      </c>
      <c r="BL41" s="47">
        <f t="shared" si="16"/>
        <v>2072.8000000000002</v>
      </c>
      <c r="BM41" s="47">
        <f t="shared" si="16"/>
        <v>2072.8000000000002</v>
      </c>
      <c r="BN41" s="47">
        <f t="shared" si="16"/>
        <v>2072.8000000000002</v>
      </c>
    </row>
    <row r="42" spans="1:66" x14ac:dyDescent="0.35">
      <c r="A42" t="s">
        <v>101</v>
      </c>
      <c r="D42" s="47">
        <f>D12</f>
        <v>0</v>
      </c>
      <c r="E42" s="47">
        <f t="shared" ref="E42:BN42" si="17">E12</f>
        <v>0</v>
      </c>
      <c r="F42" s="47">
        <f t="shared" si="17"/>
        <v>33.869</v>
      </c>
      <c r="G42" s="47">
        <f t="shared" si="17"/>
        <v>78.697000000000003</v>
      </c>
      <c r="H42" s="47">
        <f t="shared" si="17"/>
        <v>129.40700000000001</v>
      </c>
      <c r="I42" s="47">
        <f t="shared" si="17"/>
        <v>241.43900000000002</v>
      </c>
      <c r="J42" s="47">
        <f t="shared" si="17"/>
        <v>433.27699999999999</v>
      </c>
      <c r="K42" s="47">
        <f t="shared" si="17"/>
        <v>509.03999999999996</v>
      </c>
      <c r="L42" s="47">
        <f t="shared" si="17"/>
        <v>543.51400000000001</v>
      </c>
      <c r="M42" s="47">
        <f t="shared" si="17"/>
        <v>601.03399999999999</v>
      </c>
      <c r="N42" s="47">
        <f t="shared" si="17"/>
        <v>657.9899999999999</v>
      </c>
      <c r="O42" s="47">
        <f t="shared" si="17"/>
        <v>680.76199999999994</v>
      </c>
      <c r="P42" s="47">
        <f t="shared" si="17"/>
        <v>701.06399999999985</v>
      </c>
      <c r="Q42" s="47">
        <f t="shared" si="17"/>
        <v>701.06399999999985</v>
      </c>
      <c r="R42" s="47">
        <f t="shared" si="17"/>
        <v>725.3119999999999</v>
      </c>
      <c r="S42" s="47">
        <f t="shared" si="17"/>
        <v>759.93</v>
      </c>
      <c r="T42" s="47">
        <f t="shared" si="17"/>
        <v>825.22</v>
      </c>
      <c r="U42" s="47">
        <f t="shared" si="17"/>
        <v>860.49299999999994</v>
      </c>
      <c r="V42" s="47">
        <f t="shared" si="17"/>
        <v>860.49299999999994</v>
      </c>
      <c r="W42" s="47">
        <f t="shared" si="17"/>
        <v>860.49299999999994</v>
      </c>
      <c r="X42" s="47">
        <f t="shared" si="17"/>
        <v>860.49299999999994</v>
      </c>
      <c r="Y42" s="47">
        <f t="shared" si="17"/>
        <v>968.02099999999996</v>
      </c>
      <c r="Z42" s="47">
        <f t="shared" si="17"/>
        <v>1139.5809999999999</v>
      </c>
      <c r="AA42" s="47">
        <f t="shared" si="17"/>
        <v>1549.7969999999998</v>
      </c>
      <c r="AB42" s="47">
        <f t="shared" si="17"/>
        <v>1582.49</v>
      </c>
      <c r="AC42" s="47">
        <f t="shared" si="17"/>
        <v>1980.2109999999998</v>
      </c>
      <c r="AD42" s="47">
        <f t="shared" si="17"/>
        <v>2072.7109999999998</v>
      </c>
      <c r="AE42" s="47">
        <f t="shared" si="17"/>
        <v>2072.7109999999998</v>
      </c>
      <c r="AF42" s="47">
        <f t="shared" si="17"/>
        <v>2072.7109999999998</v>
      </c>
      <c r="AG42" s="47">
        <f t="shared" si="17"/>
        <v>2072.7109999999998</v>
      </c>
      <c r="AH42" s="47">
        <f t="shared" si="17"/>
        <v>2072.7109999999998</v>
      </c>
      <c r="AI42" s="47">
        <f t="shared" si="17"/>
        <v>2072.7109999999998</v>
      </c>
      <c r="AJ42" s="47">
        <f t="shared" si="17"/>
        <v>2072.7109999999998</v>
      </c>
      <c r="AK42" s="47">
        <f t="shared" si="17"/>
        <v>2072.7109999999998</v>
      </c>
      <c r="AL42" s="47">
        <f t="shared" si="17"/>
        <v>2072.7109999999998</v>
      </c>
      <c r="AM42" s="47">
        <f t="shared" si="17"/>
        <v>2072.7109999999998</v>
      </c>
      <c r="AN42" s="47">
        <f t="shared" si="17"/>
        <v>2072.7109999999998</v>
      </c>
      <c r="AO42" s="47">
        <f t="shared" si="17"/>
        <v>2072.7109999999998</v>
      </c>
      <c r="AP42" s="47">
        <f t="shared" si="17"/>
        <v>2072.7109999999998</v>
      </c>
      <c r="AQ42" s="47">
        <f t="shared" si="17"/>
        <v>2072.7109999999998</v>
      </c>
      <c r="AR42" s="47">
        <f t="shared" si="17"/>
        <v>2072.7109999999998</v>
      </c>
      <c r="AS42" s="47">
        <f t="shared" si="17"/>
        <v>2072.7109999999998</v>
      </c>
      <c r="AT42" s="47">
        <f t="shared" si="17"/>
        <v>2072.7109999999998</v>
      </c>
      <c r="AU42" s="47">
        <f t="shared" si="17"/>
        <v>2072.7109999999998</v>
      </c>
      <c r="AV42" s="47">
        <f t="shared" si="17"/>
        <v>2072.7109999999998</v>
      </c>
      <c r="AW42" s="47">
        <f t="shared" si="17"/>
        <v>2072.7109999999998</v>
      </c>
      <c r="AX42" s="47">
        <f t="shared" si="17"/>
        <v>2072.7109999999998</v>
      </c>
      <c r="AY42" s="47">
        <f t="shared" si="17"/>
        <v>2072.7109999999998</v>
      </c>
      <c r="AZ42" s="47">
        <f t="shared" si="17"/>
        <v>2072.7109999999998</v>
      </c>
      <c r="BA42" s="47">
        <f t="shared" si="17"/>
        <v>2072.7109999999998</v>
      </c>
      <c r="BB42" s="47">
        <f t="shared" si="17"/>
        <v>2072.7109999999998</v>
      </c>
      <c r="BC42" s="47">
        <f t="shared" si="17"/>
        <v>2072.7109999999998</v>
      </c>
      <c r="BD42" s="47">
        <f t="shared" si="17"/>
        <v>2072.7109999999998</v>
      </c>
      <c r="BE42" s="47">
        <f t="shared" si="17"/>
        <v>2072.7109999999998</v>
      </c>
      <c r="BF42" s="47">
        <f t="shared" si="17"/>
        <v>2072.7109999999998</v>
      </c>
      <c r="BG42" s="47">
        <f t="shared" si="17"/>
        <v>2072.7109999999998</v>
      </c>
      <c r="BH42" s="47">
        <f t="shared" si="17"/>
        <v>2072.7109999999998</v>
      </c>
      <c r="BI42" s="47">
        <f t="shared" si="17"/>
        <v>2072.7109999999998</v>
      </c>
      <c r="BJ42" s="47">
        <f t="shared" si="17"/>
        <v>2072.7109999999998</v>
      </c>
      <c r="BK42" s="47">
        <f t="shared" si="17"/>
        <v>2072.7109999999998</v>
      </c>
      <c r="BL42" s="47">
        <f t="shared" si="17"/>
        <v>2072.7109999999998</v>
      </c>
      <c r="BM42" s="47">
        <f t="shared" si="17"/>
        <v>2072.7109999999998</v>
      </c>
      <c r="BN42" s="47">
        <f t="shared" si="17"/>
        <v>2072.7109999999998</v>
      </c>
    </row>
    <row r="43" spans="1:66" x14ac:dyDescent="0.35">
      <c r="A43" t="s">
        <v>105</v>
      </c>
      <c r="D43" s="47">
        <f>D28</f>
        <v>0</v>
      </c>
      <c r="E43" s="47">
        <f t="shared" ref="E43:BN43" si="18">E28</f>
        <v>0</v>
      </c>
      <c r="F43" s="47">
        <f t="shared" si="18"/>
        <v>0</v>
      </c>
      <c r="G43" s="47">
        <f t="shared" si="18"/>
        <v>0</v>
      </c>
      <c r="H43" s="47">
        <f t="shared" si="18"/>
        <v>0</v>
      </c>
      <c r="I43" s="47">
        <f t="shared" si="18"/>
        <v>0</v>
      </c>
      <c r="J43" s="47">
        <f t="shared" si="18"/>
        <v>0</v>
      </c>
      <c r="K43" s="47">
        <f t="shared" si="18"/>
        <v>33.869</v>
      </c>
      <c r="L43" s="47">
        <f t="shared" si="18"/>
        <v>78.697000000000003</v>
      </c>
      <c r="M43" s="47">
        <f t="shared" si="18"/>
        <v>129.40700000000001</v>
      </c>
      <c r="N43" s="47">
        <f t="shared" si="18"/>
        <v>241.43900000000002</v>
      </c>
      <c r="O43" s="47">
        <f t="shared" si="18"/>
        <v>433.27699999999999</v>
      </c>
      <c r="P43" s="47">
        <f t="shared" si="18"/>
        <v>509.03999999999996</v>
      </c>
      <c r="Q43" s="47">
        <f t="shared" si="18"/>
        <v>543.51400000000001</v>
      </c>
      <c r="R43" s="47">
        <f t="shared" si="18"/>
        <v>601.03399999999999</v>
      </c>
      <c r="S43" s="47">
        <f t="shared" si="18"/>
        <v>657.9899999999999</v>
      </c>
      <c r="T43" s="47">
        <f t="shared" si="18"/>
        <v>680.76199999999994</v>
      </c>
      <c r="U43" s="47">
        <f t="shared" si="18"/>
        <v>701.06399999999985</v>
      </c>
      <c r="V43" s="47">
        <f t="shared" si="18"/>
        <v>701.06399999999985</v>
      </c>
      <c r="W43" s="47">
        <f t="shared" si="18"/>
        <v>725.3119999999999</v>
      </c>
      <c r="X43" s="47">
        <f t="shared" si="18"/>
        <v>759.93</v>
      </c>
      <c r="Y43" s="47">
        <f t="shared" si="18"/>
        <v>825.22</v>
      </c>
      <c r="Z43" s="47">
        <f t="shared" si="18"/>
        <v>860.49299999999994</v>
      </c>
      <c r="AA43" s="47">
        <f t="shared" si="18"/>
        <v>860.49299999999994</v>
      </c>
      <c r="AB43" s="47">
        <f t="shared" si="18"/>
        <v>860.49299999999994</v>
      </c>
      <c r="AC43" s="47">
        <f t="shared" si="18"/>
        <v>895.03099999999995</v>
      </c>
      <c r="AD43" s="47">
        <f t="shared" si="18"/>
        <v>895.03099999999995</v>
      </c>
      <c r="AE43" s="47">
        <f t="shared" si="18"/>
        <v>895.03099999999995</v>
      </c>
      <c r="AF43" s="47">
        <f t="shared" si="18"/>
        <v>1204.8519999999999</v>
      </c>
      <c r="AG43" s="47">
        <f t="shared" si="18"/>
        <v>1421.7450000000001</v>
      </c>
      <c r="AH43" s="47">
        <f t="shared" si="18"/>
        <v>1574.6130000000001</v>
      </c>
      <c r="AI43" s="47">
        <f t="shared" si="18"/>
        <v>1901.2130000000002</v>
      </c>
      <c r="AJ43" s="47">
        <f t="shared" si="18"/>
        <v>1901.2130000000002</v>
      </c>
      <c r="AK43" s="47">
        <f t="shared" si="18"/>
        <v>1901.2130000000002</v>
      </c>
      <c r="AL43" s="47">
        <f t="shared" si="18"/>
        <v>1901.2130000000002</v>
      </c>
      <c r="AM43" s="47">
        <f t="shared" si="18"/>
        <v>1901.2130000000002</v>
      </c>
      <c r="AN43" s="47">
        <f t="shared" si="18"/>
        <v>1901.2130000000002</v>
      </c>
      <c r="AO43" s="47">
        <f t="shared" si="18"/>
        <v>1901.2130000000002</v>
      </c>
      <c r="AP43" s="47">
        <f t="shared" si="18"/>
        <v>1901.2130000000002</v>
      </c>
      <c r="AQ43" s="47">
        <f t="shared" si="18"/>
        <v>1901.2130000000002</v>
      </c>
      <c r="AR43" s="47">
        <f t="shared" si="18"/>
        <v>1901.2130000000002</v>
      </c>
      <c r="AS43" s="47">
        <f t="shared" si="18"/>
        <v>1901.2130000000002</v>
      </c>
      <c r="AT43" s="47">
        <f t="shared" si="18"/>
        <v>1901.2130000000002</v>
      </c>
      <c r="AU43" s="47">
        <f t="shared" si="18"/>
        <v>1901.2130000000002</v>
      </c>
      <c r="AV43" s="47">
        <f t="shared" si="18"/>
        <v>1901.2130000000002</v>
      </c>
      <c r="AW43" s="47">
        <f t="shared" si="18"/>
        <v>1901.2130000000002</v>
      </c>
      <c r="AX43" s="47">
        <f t="shared" si="18"/>
        <v>1901.2130000000002</v>
      </c>
      <c r="AY43" s="47">
        <f t="shared" si="18"/>
        <v>1901.2130000000002</v>
      </c>
      <c r="AZ43" s="47">
        <f t="shared" si="18"/>
        <v>1901.2130000000002</v>
      </c>
      <c r="BA43" s="47">
        <f t="shared" si="18"/>
        <v>1901.2130000000002</v>
      </c>
      <c r="BB43" s="47">
        <f t="shared" si="18"/>
        <v>1901.2130000000002</v>
      </c>
      <c r="BC43" s="47">
        <f t="shared" si="18"/>
        <v>1901.2130000000002</v>
      </c>
      <c r="BD43" s="47">
        <f t="shared" si="18"/>
        <v>1901.2130000000002</v>
      </c>
      <c r="BE43" s="47">
        <f t="shared" si="18"/>
        <v>1901.2130000000002</v>
      </c>
      <c r="BF43" s="47">
        <f t="shared" si="18"/>
        <v>1901.2130000000002</v>
      </c>
      <c r="BG43" s="47">
        <f t="shared" si="18"/>
        <v>1901.2130000000002</v>
      </c>
      <c r="BH43" s="47">
        <f t="shared" si="18"/>
        <v>1901.2130000000002</v>
      </c>
      <c r="BI43" s="47">
        <f t="shared" si="18"/>
        <v>1901.2130000000002</v>
      </c>
      <c r="BJ43" s="47">
        <f t="shared" si="18"/>
        <v>1901.2130000000002</v>
      </c>
      <c r="BK43" s="47">
        <f t="shared" si="18"/>
        <v>1901.2130000000002</v>
      </c>
      <c r="BL43" s="47">
        <f t="shared" si="18"/>
        <v>1901.2130000000002</v>
      </c>
      <c r="BM43" s="47">
        <f t="shared" si="18"/>
        <v>1901.2130000000002</v>
      </c>
      <c r="BN43" s="47">
        <f t="shared" si="18"/>
        <v>1901.2130000000002</v>
      </c>
    </row>
    <row r="44" spans="1:66" x14ac:dyDescent="0.35">
      <c r="A44" t="s">
        <v>106</v>
      </c>
      <c r="D44" s="47">
        <f>D30</f>
        <v>0</v>
      </c>
      <c r="E44" s="47">
        <f>E30</f>
        <v>0</v>
      </c>
      <c r="F44" s="47">
        <f t="shared" ref="F44:BN44" si="19">F30</f>
        <v>0</v>
      </c>
      <c r="G44" s="47">
        <f t="shared" si="19"/>
        <v>0</v>
      </c>
      <c r="H44" s="47">
        <f t="shared" si="19"/>
        <v>0</v>
      </c>
      <c r="I44" s="47">
        <f t="shared" si="19"/>
        <v>0</v>
      </c>
      <c r="J44" s="47">
        <f t="shared" si="19"/>
        <v>0</v>
      </c>
      <c r="K44" s="47">
        <f t="shared" si="19"/>
        <v>33.869</v>
      </c>
      <c r="L44" s="47">
        <f t="shared" si="19"/>
        <v>78.697000000000003</v>
      </c>
      <c r="M44" s="47">
        <f t="shared" si="19"/>
        <v>129.40700000000001</v>
      </c>
      <c r="N44" s="47">
        <f t="shared" si="19"/>
        <v>241.43900000000002</v>
      </c>
      <c r="O44" s="47">
        <f t="shared" si="19"/>
        <v>433.27699999999999</v>
      </c>
      <c r="P44" s="47">
        <f t="shared" si="19"/>
        <v>509.03999999999996</v>
      </c>
      <c r="Q44" s="47">
        <f t="shared" si="19"/>
        <v>543.51400000000001</v>
      </c>
      <c r="R44" s="47">
        <f t="shared" si="19"/>
        <v>601.03399999999999</v>
      </c>
      <c r="S44" s="47">
        <f t="shared" si="19"/>
        <v>657.9899999999999</v>
      </c>
      <c r="T44" s="47">
        <f t="shared" si="19"/>
        <v>680.76199999999994</v>
      </c>
      <c r="U44" s="47">
        <f t="shared" si="19"/>
        <v>701.06399999999985</v>
      </c>
      <c r="V44" s="47">
        <f t="shared" si="19"/>
        <v>701.06399999999985</v>
      </c>
      <c r="W44" s="47">
        <f t="shared" si="19"/>
        <v>725.3119999999999</v>
      </c>
      <c r="X44" s="47">
        <f t="shared" si="19"/>
        <v>759.93</v>
      </c>
      <c r="Y44" s="47">
        <f t="shared" si="19"/>
        <v>825.22</v>
      </c>
      <c r="Z44" s="47">
        <f t="shared" si="19"/>
        <v>860.49299999999994</v>
      </c>
      <c r="AA44" s="47">
        <f t="shared" si="19"/>
        <v>860.49299999999994</v>
      </c>
      <c r="AB44" s="47">
        <f t="shared" si="19"/>
        <v>860.49299999999994</v>
      </c>
      <c r="AC44" s="47">
        <f t="shared" si="19"/>
        <v>895.03099999999995</v>
      </c>
      <c r="AD44" s="47">
        <f t="shared" si="19"/>
        <v>895.03099999999995</v>
      </c>
      <c r="AE44" s="47">
        <f t="shared" si="19"/>
        <v>895.03099999999995</v>
      </c>
      <c r="AF44" s="47">
        <f t="shared" si="19"/>
        <v>1204.8519999999999</v>
      </c>
      <c r="AG44" s="47">
        <f t="shared" si="19"/>
        <v>1421.7450000000001</v>
      </c>
      <c r="AH44" s="47">
        <f t="shared" si="19"/>
        <v>1574.6130000000001</v>
      </c>
      <c r="AI44" s="47">
        <f t="shared" si="19"/>
        <v>1901.2130000000002</v>
      </c>
      <c r="AJ44" s="47">
        <f t="shared" si="19"/>
        <v>1901.2130000000002</v>
      </c>
      <c r="AK44" s="47">
        <f t="shared" si="19"/>
        <v>1901.2130000000002</v>
      </c>
      <c r="AL44" s="47">
        <f t="shared" si="19"/>
        <v>1901.2130000000002</v>
      </c>
      <c r="AM44" s="47">
        <f t="shared" si="19"/>
        <v>1901.2130000000002</v>
      </c>
      <c r="AN44" s="47">
        <f t="shared" si="19"/>
        <v>1901.2130000000002</v>
      </c>
      <c r="AO44" s="47">
        <f t="shared" si="19"/>
        <v>1901.2130000000002</v>
      </c>
      <c r="AP44" s="47">
        <f t="shared" si="19"/>
        <v>1901.2130000000002</v>
      </c>
      <c r="AQ44" s="47">
        <f t="shared" si="19"/>
        <v>1901.2130000000002</v>
      </c>
      <c r="AR44" s="47">
        <f t="shared" si="19"/>
        <v>1901.2130000000002</v>
      </c>
      <c r="AS44" s="47">
        <f t="shared" si="19"/>
        <v>1901.2130000000002</v>
      </c>
      <c r="AT44" s="47">
        <f t="shared" si="19"/>
        <v>1901.2130000000002</v>
      </c>
      <c r="AU44" s="47">
        <f t="shared" si="19"/>
        <v>1901.2130000000002</v>
      </c>
      <c r="AV44" s="47">
        <f t="shared" si="19"/>
        <v>1901.2130000000002</v>
      </c>
      <c r="AW44" s="47">
        <f t="shared" si="19"/>
        <v>1901.2130000000002</v>
      </c>
      <c r="AX44" s="47">
        <f t="shared" si="19"/>
        <v>1901.2130000000002</v>
      </c>
      <c r="AY44" s="47">
        <f t="shared" si="19"/>
        <v>1901.2130000000002</v>
      </c>
      <c r="AZ44" s="47">
        <f t="shared" si="19"/>
        <v>1901.2130000000002</v>
      </c>
      <c r="BA44" s="47">
        <f t="shared" si="19"/>
        <v>1901.2130000000002</v>
      </c>
      <c r="BB44" s="47">
        <f t="shared" si="19"/>
        <v>1901.2130000000002</v>
      </c>
      <c r="BC44" s="47">
        <f t="shared" si="19"/>
        <v>1901.2130000000002</v>
      </c>
      <c r="BD44" s="47">
        <f t="shared" si="19"/>
        <v>1901.2130000000002</v>
      </c>
      <c r="BE44" s="47">
        <f t="shared" si="19"/>
        <v>1901.2130000000002</v>
      </c>
      <c r="BF44" s="47">
        <f t="shared" si="19"/>
        <v>1901.2130000000002</v>
      </c>
      <c r="BG44" s="47">
        <f t="shared" si="19"/>
        <v>1901.2130000000002</v>
      </c>
      <c r="BH44" s="47">
        <f t="shared" si="19"/>
        <v>1901.2130000000002</v>
      </c>
      <c r="BI44" s="47">
        <f t="shared" si="19"/>
        <v>1901.2130000000002</v>
      </c>
      <c r="BJ44" s="47">
        <f t="shared" si="19"/>
        <v>1901.2130000000002</v>
      </c>
      <c r="BK44" s="47">
        <f t="shared" si="19"/>
        <v>1901.2130000000002</v>
      </c>
      <c r="BL44" s="47">
        <f t="shared" si="19"/>
        <v>1901.2130000000002</v>
      </c>
      <c r="BM44" s="47">
        <f t="shared" si="19"/>
        <v>1901.2130000000002</v>
      </c>
      <c r="BN44" s="47">
        <f t="shared" si="19"/>
        <v>1901.2130000000002</v>
      </c>
    </row>
    <row r="45" spans="1:66" x14ac:dyDescent="0.35">
      <c r="A45" t="s">
        <v>107</v>
      </c>
      <c r="D45" s="47">
        <f>D31+D32</f>
        <v>0</v>
      </c>
      <c r="E45" s="47">
        <f>E31+E32</f>
        <v>0</v>
      </c>
      <c r="F45" s="47">
        <f t="shared" ref="F45:BN45" si="20">F31+F32</f>
        <v>0</v>
      </c>
      <c r="G45" s="47">
        <f t="shared" si="20"/>
        <v>0</v>
      </c>
      <c r="H45" s="47">
        <f t="shared" si="20"/>
        <v>0</v>
      </c>
      <c r="I45" s="47">
        <f t="shared" si="20"/>
        <v>0</v>
      </c>
      <c r="J45" s="47">
        <f t="shared" si="20"/>
        <v>0</v>
      </c>
      <c r="K45" s="47">
        <f>K31+K32</f>
        <v>33.869</v>
      </c>
      <c r="L45" s="47">
        <f t="shared" si="20"/>
        <v>78.697000000000003</v>
      </c>
      <c r="M45" s="47">
        <f t="shared" si="20"/>
        <v>129.40700000000001</v>
      </c>
      <c r="N45" s="47">
        <f t="shared" si="20"/>
        <v>241.43900000000002</v>
      </c>
      <c r="O45" s="47">
        <f t="shared" si="20"/>
        <v>433.27699999999999</v>
      </c>
      <c r="P45" s="47">
        <f t="shared" si="20"/>
        <v>509.03999999999996</v>
      </c>
      <c r="Q45" s="47">
        <f t="shared" si="20"/>
        <v>543.51400000000001</v>
      </c>
      <c r="R45" s="47">
        <f t="shared" si="20"/>
        <v>601.03399999999999</v>
      </c>
      <c r="S45" s="47">
        <f t="shared" si="20"/>
        <v>657.9899999999999</v>
      </c>
      <c r="T45" s="47">
        <f t="shared" si="20"/>
        <v>680.76199999999994</v>
      </c>
      <c r="U45" s="47">
        <f t="shared" si="20"/>
        <v>701.06399999999985</v>
      </c>
      <c r="V45" s="47">
        <f t="shared" si="20"/>
        <v>701.06399999999985</v>
      </c>
      <c r="W45" s="47">
        <f t="shared" si="20"/>
        <v>725.3119999999999</v>
      </c>
      <c r="X45" s="47">
        <f t="shared" si="20"/>
        <v>759.93</v>
      </c>
      <c r="Y45" s="47">
        <f t="shared" si="20"/>
        <v>825.22</v>
      </c>
      <c r="Z45" s="47">
        <f t="shared" si="20"/>
        <v>860.49299999999994</v>
      </c>
      <c r="AA45" s="47">
        <f t="shared" si="20"/>
        <v>860.49299999999994</v>
      </c>
      <c r="AB45" s="47">
        <f t="shared" si="20"/>
        <v>860.49299999999994</v>
      </c>
      <c r="AC45" s="47">
        <f t="shared" si="20"/>
        <v>895.03099999999995</v>
      </c>
      <c r="AD45" s="47">
        <f t="shared" si="20"/>
        <v>895.03099999999995</v>
      </c>
      <c r="AE45" s="47">
        <f t="shared" si="20"/>
        <v>895.03099999999995</v>
      </c>
      <c r="AF45" s="47">
        <f t="shared" si="20"/>
        <v>1204.8519999999999</v>
      </c>
      <c r="AG45" s="47">
        <f t="shared" si="20"/>
        <v>1421.7450000000001</v>
      </c>
      <c r="AH45" s="47">
        <f t="shared" si="20"/>
        <v>1574.6130000000003</v>
      </c>
      <c r="AI45" s="47">
        <f t="shared" si="20"/>
        <v>1901.2130000000002</v>
      </c>
      <c r="AJ45" s="47">
        <f t="shared" si="20"/>
        <v>1901.2130000000002</v>
      </c>
      <c r="AK45" s="47">
        <f t="shared" si="20"/>
        <v>1901.2130000000002</v>
      </c>
      <c r="AL45" s="47">
        <f t="shared" si="20"/>
        <v>1901.2130000000002</v>
      </c>
      <c r="AM45" s="47">
        <f t="shared" si="20"/>
        <v>1901.2130000000002</v>
      </c>
      <c r="AN45" s="47">
        <f t="shared" si="20"/>
        <v>1901.2130000000002</v>
      </c>
      <c r="AO45" s="47">
        <f t="shared" si="20"/>
        <v>1901.2130000000002</v>
      </c>
      <c r="AP45" s="47">
        <f t="shared" si="20"/>
        <v>1901.2130000000002</v>
      </c>
      <c r="AQ45" s="47">
        <f t="shared" si="20"/>
        <v>1901.2130000000002</v>
      </c>
      <c r="AR45" s="47">
        <f t="shared" si="20"/>
        <v>1901.2130000000002</v>
      </c>
      <c r="AS45" s="47">
        <f t="shared" si="20"/>
        <v>1901.2130000000002</v>
      </c>
      <c r="AT45" s="47">
        <f t="shared" si="20"/>
        <v>1901.2130000000002</v>
      </c>
      <c r="AU45" s="47">
        <f t="shared" si="20"/>
        <v>1901.2130000000002</v>
      </c>
      <c r="AV45" s="47">
        <f t="shared" si="20"/>
        <v>1901.2130000000002</v>
      </c>
      <c r="AW45" s="47">
        <f t="shared" si="20"/>
        <v>1901.2130000000002</v>
      </c>
      <c r="AX45" s="47">
        <f t="shared" si="20"/>
        <v>1901.2130000000002</v>
      </c>
      <c r="AY45" s="47">
        <f t="shared" si="20"/>
        <v>1901.2130000000002</v>
      </c>
      <c r="AZ45" s="47">
        <f t="shared" si="20"/>
        <v>1901.2130000000002</v>
      </c>
      <c r="BA45" s="47">
        <f t="shared" si="20"/>
        <v>1901.2130000000002</v>
      </c>
      <c r="BB45" s="47">
        <f t="shared" si="20"/>
        <v>1901.2130000000002</v>
      </c>
      <c r="BC45" s="47">
        <f t="shared" si="20"/>
        <v>1901.2130000000002</v>
      </c>
      <c r="BD45" s="47">
        <f t="shared" si="20"/>
        <v>1901.2130000000002</v>
      </c>
      <c r="BE45" s="47">
        <f t="shared" si="20"/>
        <v>1901.2130000000002</v>
      </c>
      <c r="BF45" s="47">
        <f t="shared" si="20"/>
        <v>1901.2130000000002</v>
      </c>
      <c r="BG45" s="47">
        <f t="shared" si="20"/>
        <v>1901.2130000000002</v>
      </c>
      <c r="BH45" s="47">
        <f t="shared" si="20"/>
        <v>1901.2130000000002</v>
      </c>
      <c r="BI45" s="47">
        <f t="shared" si="20"/>
        <v>1901.2130000000002</v>
      </c>
      <c r="BJ45" s="47">
        <f t="shared" si="20"/>
        <v>1901.2130000000002</v>
      </c>
      <c r="BK45" s="47">
        <f t="shared" si="20"/>
        <v>1901.2130000000002</v>
      </c>
      <c r="BL45" s="47">
        <f t="shared" si="20"/>
        <v>1901.2130000000002</v>
      </c>
      <c r="BM45" s="47">
        <f t="shared" si="20"/>
        <v>1901.2130000000002</v>
      </c>
      <c r="BN45" s="47">
        <f t="shared" si="20"/>
        <v>1901.2130000000002</v>
      </c>
    </row>
    <row r="46" spans="1:66" x14ac:dyDescent="0.35">
      <c r="A46" t="s">
        <v>108</v>
      </c>
      <c r="D46" s="47">
        <f>D38</f>
        <v>0</v>
      </c>
      <c r="E46" s="47">
        <f t="shared" ref="E46:BN46" si="21">E38</f>
        <v>0</v>
      </c>
      <c r="F46" s="47">
        <f t="shared" si="21"/>
        <v>0</v>
      </c>
      <c r="G46" s="47">
        <f t="shared" si="21"/>
        <v>0</v>
      </c>
      <c r="H46" s="47">
        <f t="shared" si="21"/>
        <v>0</v>
      </c>
      <c r="I46" s="47">
        <f t="shared" si="21"/>
        <v>0</v>
      </c>
      <c r="J46" s="47">
        <f t="shared" si="21"/>
        <v>0</v>
      </c>
      <c r="K46" s="47">
        <f>K38</f>
        <v>0</v>
      </c>
      <c r="L46" s="47">
        <f t="shared" si="21"/>
        <v>0</v>
      </c>
      <c r="M46" s="47">
        <f t="shared" si="21"/>
        <v>0</v>
      </c>
      <c r="N46" s="47">
        <f t="shared" si="21"/>
        <v>0</v>
      </c>
      <c r="O46" s="47">
        <f t="shared" si="21"/>
        <v>0</v>
      </c>
      <c r="P46" s="47">
        <f t="shared" si="21"/>
        <v>0</v>
      </c>
      <c r="Q46" s="47">
        <f t="shared" si="21"/>
        <v>0</v>
      </c>
      <c r="R46" s="47">
        <f t="shared" si="21"/>
        <v>0</v>
      </c>
      <c r="S46" s="47">
        <f t="shared" si="21"/>
        <v>0</v>
      </c>
      <c r="T46" s="47">
        <f t="shared" si="21"/>
        <v>0</v>
      </c>
      <c r="U46" s="47">
        <f t="shared" si="21"/>
        <v>0</v>
      </c>
      <c r="V46" s="47">
        <f t="shared" si="21"/>
        <v>0</v>
      </c>
      <c r="W46" s="47">
        <f t="shared" si="21"/>
        <v>0</v>
      </c>
      <c r="X46" s="47">
        <f t="shared" si="21"/>
        <v>0</v>
      </c>
      <c r="Y46" s="47">
        <f t="shared" si="21"/>
        <v>0</v>
      </c>
      <c r="Z46" s="47">
        <f t="shared" si="21"/>
        <v>0</v>
      </c>
      <c r="AA46" s="47">
        <f t="shared" si="21"/>
        <v>0</v>
      </c>
      <c r="AB46" s="47">
        <f t="shared" si="21"/>
        <v>0</v>
      </c>
      <c r="AC46" s="47">
        <f t="shared" si="21"/>
        <v>0</v>
      </c>
      <c r="AD46" s="47">
        <f t="shared" si="21"/>
        <v>0</v>
      </c>
      <c r="AE46" s="47">
        <f t="shared" si="21"/>
        <v>171.56</v>
      </c>
      <c r="AF46" s="47">
        <f t="shared" si="21"/>
        <v>171.56</v>
      </c>
      <c r="AG46" s="47">
        <f t="shared" si="21"/>
        <v>171.56</v>
      </c>
      <c r="AH46" s="47">
        <f t="shared" si="21"/>
        <v>171.56</v>
      </c>
      <c r="AI46" s="47">
        <f t="shared" si="21"/>
        <v>171.56</v>
      </c>
      <c r="AJ46" s="47">
        <f t="shared" si="21"/>
        <v>171.56</v>
      </c>
      <c r="AK46" s="47">
        <f t="shared" si="21"/>
        <v>171.56</v>
      </c>
      <c r="AL46" s="47">
        <f t="shared" si="21"/>
        <v>171.56</v>
      </c>
      <c r="AM46" s="47">
        <f t="shared" si="21"/>
        <v>171.56</v>
      </c>
      <c r="AN46" s="47">
        <f t="shared" si="21"/>
        <v>171.56</v>
      </c>
      <c r="AO46" s="47">
        <f t="shared" si="21"/>
        <v>171.56</v>
      </c>
      <c r="AP46" s="47">
        <f t="shared" si="21"/>
        <v>171.56</v>
      </c>
      <c r="AQ46" s="47">
        <f t="shared" si="21"/>
        <v>171.56</v>
      </c>
      <c r="AR46" s="47">
        <f t="shared" si="21"/>
        <v>171.56</v>
      </c>
      <c r="AS46" s="47">
        <f t="shared" si="21"/>
        <v>171.56</v>
      </c>
      <c r="AT46" s="47">
        <f t="shared" si="21"/>
        <v>171.56</v>
      </c>
      <c r="AU46" s="47">
        <f t="shared" si="21"/>
        <v>171.56</v>
      </c>
      <c r="AV46" s="47">
        <f t="shared" si="21"/>
        <v>171.56</v>
      </c>
      <c r="AW46" s="47">
        <f t="shared" si="21"/>
        <v>171.56</v>
      </c>
      <c r="AX46" s="47">
        <f t="shared" si="21"/>
        <v>171.56</v>
      </c>
      <c r="AY46" s="47">
        <f t="shared" si="21"/>
        <v>171.56</v>
      </c>
      <c r="AZ46" s="47">
        <f t="shared" si="21"/>
        <v>171.56</v>
      </c>
      <c r="BA46" s="47">
        <f t="shared" si="21"/>
        <v>171.56</v>
      </c>
      <c r="BB46" s="47">
        <f t="shared" si="21"/>
        <v>171.56</v>
      </c>
      <c r="BC46" s="47">
        <f t="shared" si="21"/>
        <v>171.56</v>
      </c>
      <c r="BD46" s="47">
        <f t="shared" si="21"/>
        <v>171.56</v>
      </c>
      <c r="BE46" s="47">
        <f t="shared" si="21"/>
        <v>171.56</v>
      </c>
      <c r="BF46" s="47">
        <f t="shared" si="21"/>
        <v>171.56</v>
      </c>
      <c r="BG46" s="47">
        <f t="shared" si="21"/>
        <v>171.56</v>
      </c>
      <c r="BH46" s="47">
        <f t="shared" si="21"/>
        <v>171.56</v>
      </c>
      <c r="BI46" s="47">
        <f t="shared" si="21"/>
        <v>171.56</v>
      </c>
      <c r="BJ46" s="47">
        <f t="shared" si="21"/>
        <v>171.56</v>
      </c>
      <c r="BK46" s="47">
        <f t="shared" si="21"/>
        <v>171.56</v>
      </c>
      <c r="BL46" s="47">
        <f t="shared" si="21"/>
        <v>171.56</v>
      </c>
      <c r="BM46" s="47">
        <f t="shared" si="21"/>
        <v>171.56</v>
      </c>
      <c r="BN46" s="47">
        <f t="shared" si="21"/>
        <v>171.56</v>
      </c>
    </row>
    <row r="47" spans="1:66" x14ac:dyDescent="0.35">
      <c r="A47" t="s">
        <v>109</v>
      </c>
      <c r="D47" s="47">
        <f>D35+D36+D39</f>
        <v>0</v>
      </c>
      <c r="E47" s="47">
        <f t="shared" ref="E47:BN47" si="22">E35+E36+E39</f>
        <v>0</v>
      </c>
      <c r="F47" s="47">
        <f t="shared" si="22"/>
        <v>0</v>
      </c>
      <c r="G47" s="47">
        <f t="shared" si="22"/>
        <v>0</v>
      </c>
      <c r="H47" s="47">
        <f t="shared" si="22"/>
        <v>0</v>
      </c>
      <c r="I47" s="47">
        <f t="shared" si="22"/>
        <v>0</v>
      </c>
      <c r="J47" s="47">
        <f t="shared" si="22"/>
        <v>0</v>
      </c>
      <c r="K47" s="47">
        <f t="shared" si="22"/>
        <v>0</v>
      </c>
      <c r="L47" s="47">
        <f t="shared" si="22"/>
        <v>0</v>
      </c>
      <c r="M47" s="47">
        <f t="shared" si="22"/>
        <v>0</v>
      </c>
      <c r="N47" s="47">
        <f t="shared" si="22"/>
        <v>0</v>
      </c>
      <c r="O47" s="47">
        <f t="shared" si="22"/>
        <v>0</v>
      </c>
      <c r="P47" s="47">
        <f t="shared" si="22"/>
        <v>0</v>
      </c>
      <c r="Q47" s="47">
        <f t="shared" si="22"/>
        <v>0</v>
      </c>
      <c r="R47" s="47">
        <f t="shared" si="22"/>
        <v>0</v>
      </c>
      <c r="S47" s="47">
        <f t="shared" si="22"/>
        <v>0</v>
      </c>
      <c r="T47" s="47">
        <f t="shared" si="22"/>
        <v>0</v>
      </c>
      <c r="U47" s="47">
        <f t="shared" si="22"/>
        <v>0</v>
      </c>
      <c r="V47" s="47">
        <f t="shared" si="22"/>
        <v>0</v>
      </c>
      <c r="W47" s="47">
        <f t="shared" si="22"/>
        <v>0</v>
      </c>
      <c r="X47" s="47">
        <f t="shared" si="22"/>
        <v>0</v>
      </c>
      <c r="Y47" s="47">
        <f t="shared" si="22"/>
        <v>0</v>
      </c>
      <c r="Z47" s="47">
        <f t="shared" si="22"/>
        <v>0</v>
      </c>
      <c r="AA47" s="47">
        <f t="shared" si="22"/>
        <v>0</v>
      </c>
      <c r="AB47" s="47">
        <f t="shared" si="22"/>
        <v>0</v>
      </c>
      <c r="AC47" s="47">
        <f t="shared" si="22"/>
        <v>0</v>
      </c>
      <c r="AD47" s="47">
        <f t="shared" si="22"/>
        <v>0</v>
      </c>
      <c r="AE47" s="47">
        <f t="shared" si="22"/>
        <v>0</v>
      </c>
      <c r="AF47" s="47">
        <f t="shared" si="22"/>
        <v>0</v>
      </c>
      <c r="AG47" s="47">
        <f t="shared" si="22"/>
        <v>171.56</v>
      </c>
      <c r="AH47" s="47">
        <f t="shared" si="22"/>
        <v>211.56</v>
      </c>
      <c r="AI47" s="47">
        <f t="shared" si="22"/>
        <v>525.55999999999995</v>
      </c>
      <c r="AJ47" s="47">
        <f t="shared" si="22"/>
        <v>525.55999999999995</v>
      </c>
      <c r="AK47" s="47">
        <f t="shared" si="22"/>
        <v>525.55999999999995</v>
      </c>
      <c r="AL47" s="47">
        <f t="shared" si="22"/>
        <v>525.55999999999995</v>
      </c>
      <c r="AM47" s="47">
        <f t="shared" si="22"/>
        <v>667.56</v>
      </c>
      <c r="AN47" s="47">
        <f t="shared" si="22"/>
        <v>667.56</v>
      </c>
      <c r="AO47" s="47">
        <f t="shared" si="22"/>
        <v>667.56</v>
      </c>
      <c r="AP47" s="47">
        <f t="shared" si="22"/>
        <v>691.56</v>
      </c>
      <c r="AQ47" s="47">
        <f t="shared" si="22"/>
        <v>1345.56</v>
      </c>
      <c r="AR47" s="47">
        <f t="shared" si="22"/>
        <v>1373.5629999999999</v>
      </c>
      <c r="AS47" s="47">
        <f t="shared" si="22"/>
        <v>1532.463</v>
      </c>
      <c r="AT47" s="47">
        <f t="shared" si="22"/>
        <v>1532.463</v>
      </c>
      <c r="AU47" s="47">
        <f t="shared" si="22"/>
        <v>1532.463</v>
      </c>
      <c r="AV47" s="47">
        <f t="shared" si="22"/>
        <v>1532.463</v>
      </c>
      <c r="AW47" s="47">
        <f t="shared" si="22"/>
        <v>1566.463</v>
      </c>
      <c r="AX47" s="47">
        <f t="shared" si="22"/>
        <v>1566.463</v>
      </c>
      <c r="AY47" s="47">
        <f t="shared" si="22"/>
        <v>1566.463</v>
      </c>
      <c r="AZ47" s="47">
        <f t="shared" si="22"/>
        <v>1745.5630000000001</v>
      </c>
      <c r="BA47" s="47">
        <f t="shared" si="22"/>
        <v>1745.5630000000001</v>
      </c>
      <c r="BB47" s="47">
        <f t="shared" si="22"/>
        <v>2072.8629999999998</v>
      </c>
      <c r="BC47" s="47">
        <f t="shared" si="22"/>
        <v>2072.8629999999998</v>
      </c>
      <c r="BD47" s="47">
        <f t="shared" si="22"/>
        <v>2072.8629999999998</v>
      </c>
      <c r="BE47" s="47">
        <f t="shared" si="22"/>
        <v>2072.8629999999998</v>
      </c>
      <c r="BF47" s="47">
        <f t="shared" si="22"/>
        <v>2072.8629999999998</v>
      </c>
      <c r="BG47" s="47">
        <f t="shared" si="22"/>
        <v>2072.8629999999998</v>
      </c>
      <c r="BH47" s="47">
        <f t="shared" si="22"/>
        <v>2072.8629999999998</v>
      </c>
      <c r="BI47" s="47">
        <f t="shared" si="22"/>
        <v>2072.8629999999998</v>
      </c>
      <c r="BJ47" s="47">
        <f t="shared" si="22"/>
        <v>2072.8629999999998</v>
      </c>
      <c r="BK47" s="47">
        <f t="shared" si="22"/>
        <v>2072.8629999999998</v>
      </c>
      <c r="BL47" s="47">
        <f t="shared" si="22"/>
        <v>2072.8629999999998</v>
      </c>
      <c r="BM47" s="47">
        <f t="shared" si="22"/>
        <v>2072.8629999999998</v>
      </c>
      <c r="BN47" s="47">
        <f t="shared" si="22"/>
        <v>2072.8629999999998</v>
      </c>
    </row>
    <row r="49" spans="1:66" x14ac:dyDescent="0.35">
      <c r="A49" s="2" t="s">
        <v>110</v>
      </c>
    </row>
    <row r="50" spans="1:66" x14ac:dyDescent="0.35">
      <c r="A50" t="s">
        <v>104</v>
      </c>
      <c r="D50" s="47">
        <f t="shared" ref="D50:AD50" si="23">D41-D43-D46</f>
        <v>0</v>
      </c>
      <c r="E50" s="47">
        <f t="shared" si="23"/>
        <v>729.56120186411579</v>
      </c>
      <c r="F50" s="47">
        <f t="shared" si="23"/>
        <v>903.65681792167447</v>
      </c>
      <c r="G50" s="47">
        <f t="shared" si="23"/>
        <v>967.03631796255422</v>
      </c>
      <c r="H50" s="47">
        <f t="shared" si="23"/>
        <v>1198.0823657100809</v>
      </c>
      <c r="I50" s="47">
        <f t="shared" si="23"/>
        <v>1379.2096226800752</v>
      </c>
      <c r="J50" s="47">
        <f t="shared" si="23"/>
        <v>1410.3011949145614</v>
      </c>
      <c r="K50" s="47">
        <f t="shared" si="23"/>
        <v>1423.9856198184941</v>
      </c>
      <c r="L50" s="47">
        <f t="shared" si="23"/>
        <v>1411.8215450903444</v>
      </c>
      <c r="M50" s="47">
        <f t="shared" si="23"/>
        <v>1390.2830887090183</v>
      </c>
      <c r="N50" s="47">
        <f t="shared" si="23"/>
        <v>1303.4595213800999</v>
      </c>
      <c r="O50" s="47">
        <f t="shared" si="23"/>
        <v>1136.5945894039737</v>
      </c>
      <c r="P50" s="47">
        <f t="shared" si="23"/>
        <v>1234.6948311667079</v>
      </c>
      <c r="Q50" s="47">
        <f t="shared" si="23"/>
        <v>1403.3512644918651</v>
      </c>
      <c r="R50" s="47">
        <f t="shared" si="23"/>
        <v>1364.7444253127301</v>
      </c>
      <c r="S50" s="47">
        <f t="shared" si="23"/>
        <v>1337.4101892731587</v>
      </c>
      <c r="T50" s="47">
        <f t="shared" si="23"/>
        <v>1342.5850554329165</v>
      </c>
      <c r="U50" s="47">
        <f t="shared" si="23"/>
        <v>1357.3728968195574</v>
      </c>
      <c r="V50" s="47">
        <f t="shared" si="23"/>
        <v>1370.130441991661</v>
      </c>
      <c r="W50" s="47">
        <f t="shared" si="23"/>
        <v>1347.4880000000003</v>
      </c>
      <c r="X50" s="47">
        <f t="shared" si="23"/>
        <v>1312.8700000000003</v>
      </c>
      <c r="Y50" s="47">
        <f t="shared" si="23"/>
        <v>1247.5800000000002</v>
      </c>
      <c r="Z50" s="47">
        <f t="shared" si="23"/>
        <v>1212.3070000000002</v>
      </c>
      <c r="AA50" s="47">
        <f t="shared" si="23"/>
        <v>1212.3070000000002</v>
      </c>
      <c r="AB50" s="47">
        <f t="shared" si="23"/>
        <v>1212.3070000000002</v>
      </c>
      <c r="AC50" s="47">
        <f t="shared" si="23"/>
        <v>1177.7690000000002</v>
      </c>
      <c r="AD50" s="47">
        <f t="shared" si="23"/>
        <v>1177.7690000000002</v>
      </c>
      <c r="AE50" s="47">
        <f t="shared" ref="AE50:BN50" si="24">AE41-AE43-AE46</f>
        <v>1006.2090000000003</v>
      </c>
      <c r="AF50" s="47">
        <f t="shared" si="24"/>
        <v>696.38800000000037</v>
      </c>
      <c r="AG50" s="47">
        <f t="shared" si="24"/>
        <v>479.49500000000006</v>
      </c>
      <c r="AH50" s="47">
        <f t="shared" si="24"/>
        <v>326.62700000000012</v>
      </c>
      <c r="AI50" s="47">
        <f t="shared" si="24"/>
        <v>2.6999999999986812E-2</v>
      </c>
      <c r="AJ50" s="47">
        <f t="shared" si="24"/>
        <v>2.6999999999986812E-2</v>
      </c>
      <c r="AK50" s="47">
        <f t="shared" si="24"/>
        <v>2.6999999999986812E-2</v>
      </c>
      <c r="AL50" s="47">
        <f t="shared" si="24"/>
        <v>2.6999999999986812E-2</v>
      </c>
      <c r="AM50" s="47">
        <f t="shared" si="24"/>
        <v>2.6999999999986812E-2</v>
      </c>
      <c r="AN50" s="47">
        <f t="shared" si="24"/>
        <v>2.6999999999986812E-2</v>
      </c>
      <c r="AO50" s="47">
        <f t="shared" si="24"/>
        <v>2.6999999999986812E-2</v>
      </c>
      <c r="AP50" s="47">
        <f t="shared" si="24"/>
        <v>2.6999999999986812E-2</v>
      </c>
      <c r="AQ50" s="47">
        <f t="shared" si="24"/>
        <v>2.6999999999986812E-2</v>
      </c>
      <c r="AR50" s="47">
        <f t="shared" si="24"/>
        <v>2.6999999999986812E-2</v>
      </c>
      <c r="AS50" s="47">
        <f t="shared" si="24"/>
        <v>2.6999999999986812E-2</v>
      </c>
      <c r="AT50" s="47">
        <f t="shared" si="24"/>
        <v>2.6999999999986812E-2</v>
      </c>
      <c r="AU50" s="47">
        <f t="shared" si="24"/>
        <v>2.6999999999986812E-2</v>
      </c>
      <c r="AV50" s="47">
        <f t="shared" si="24"/>
        <v>2.6999999999986812E-2</v>
      </c>
      <c r="AW50" s="47">
        <f t="shared" si="24"/>
        <v>2.6999999999986812E-2</v>
      </c>
      <c r="AX50" s="47">
        <f t="shared" si="24"/>
        <v>2.6999999999986812E-2</v>
      </c>
      <c r="AY50" s="47">
        <f t="shared" si="24"/>
        <v>2.6999999999986812E-2</v>
      </c>
      <c r="AZ50" s="47">
        <f t="shared" si="24"/>
        <v>2.6999999999986812E-2</v>
      </c>
      <c r="BA50" s="47">
        <f t="shared" si="24"/>
        <v>2.6999999999986812E-2</v>
      </c>
      <c r="BB50" s="47">
        <f t="shared" si="24"/>
        <v>2.6999999999986812E-2</v>
      </c>
      <c r="BC50" s="47">
        <f t="shared" si="24"/>
        <v>2.6999999999986812E-2</v>
      </c>
      <c r="BD50" s="47">
        <f t="shared" si="24"/>
        <v>2.6999999999986812E-2</v>
      </c>
      <c r="BE50" s="47">
        <f t="shared" si="24"/>
        <v>2.6999999999986812E-2</v>
      </c>
      <c r="BF50" s="47">
        <f t="shared" si="24"/>
        <v>2.6999999999986812E-2</v>
      </c>
      <c r="BG50" s="47">
        <f t="shared" si="24"/>
        <v>2.6999999999986812E-2</v>
      </c>
      <c r="BH50" s="47">
        <f t="shared" si="24"/>
        <v>2.6999999999986812E-2</v>
      </c>
      <c r="BI50" s="47">
        <f t="shared" si="24"/>
        <v>2.6999999999986812E-2</v>
      </c>
      <c r="BJ50" s="47">
        <f t="shared" si="24"/>
        <v>2.6999999999986812E-2</v>
      </c>
      <c r="BK50" s="47">
        <f t="shared" si="24"/>
        <v>2.6999999999986812E-2</v>
      </c>
      <c r="BL50" s="47">
        <f t="shared" si="24"/>
        <v>2.6999999999986812E-2</v>
      </c>
      <c r="BM50" s="47">
        <f t="shared" si="24"/>
        <v>2.6999999999986812E-2</v>
      </c>
      <c r="BN50" s="47">
        <f t="shared" si="24"/>
        <v>2.6999999999986812E-2</v>
      </c>
    </row>
    <row r="51" spans="1:66" x14ac:dyDescent="0.35">
      <c r="A51" t="s">
        <v>101</v>
      </c>
      <c r="D51" s="47">
        <f>D42-D43-D46</f>
        <v>0</v>
      </c>
      <c r="E51" s="47">
        <f t="shared" ref="E51:BN51" si="25">E42-E43-E46</f>
        <v>0</v>
      </c>
      <c r="F51" s="47">
        <f t="shared" si="25"/>
        <v>33.869</v>
      </c>
      <c r="G51" s="47">
        <f t="shared" si="25"/>
        <v>78.697000000000003</v>
      </c>
      <c r="H51" s="47">
        <f t="shared" si="25"/>
        <v>129.40700000000001</v>
      </c>
      <c r="I51" s="47">
        <f t="shared" si="25"/>
        <v>241.43900000000002</v>
      </c>
      <c r="J51" s="47">
        <f t="shared" si="25"/>
        <v>433.27699999999999</v>
      </c>
      <c r="K51" s="47">
        <f t="shared" si="25"/>
        <v>475.17099999999994</v>
      </c>
      <c r="L51" s="47">
        <f t="shared" si="25"/>
        <v>464.81700000000001</v>
      </c>
      <c r="M51" s="47">
        <f t="shared" si="25"/>
        <v>471.62699999999995</v>
      </c>
      <c r="N51" s="47">
        <f t="shared" si="25"/>
        <v>416.55099999999987</v>
      </c>
      <c r="O51" s="47">
        <f t="shared" si="25"/>
        <v>247.48499999999996</v>
      </c>
      <c r="P51" s="47">
        <f t="shared" si="25"/>
        <v>192.02399999999989</v>
      </c>
      <c r="Q51" s="47">
        <f t="shared" si="25"/>
        <v>157.54999999999984</v>
      </c>
      <c r="R51" s="47">
        <f t="shared" si="25"/>
        <v>124.27799999999991</v>
      </c>
      <c r="S51" s="47">
        <f t="shared" si="25"/>
        <v>101.94000000000005</v>
      </c>
      <c r="T51" s="47">
        <f t="shared" si="25"/>
        <v>144.45800000000008</v>
      </c>
      <c r="U51" s="47">
        <f t="shared" si="25"/>
        <v>159.42900000000009</v>
      </c>
      <c r="V51" s="47">
        <f t="shared" si="25"/>
        <v>159.42900000000009</v>
      </c>
      <c r="W51" s="47">
        <f t="shared" si="25"/>
        <v>135.18100000000004</v>
      </c>
      <c r="X51" s="47">
        <f t="shared" si="25"/>
        <v>100.56299999999999</v>
      </c>
      <c r="Y51" s="47">
        <f t="shared" si="25"/>
        <v>142.80099999999993</v>
      </c>
      <c r="Z51" s="47">
        <f t="shared" si="25"/>
        <v>279.08799999999997</v>
      </c>
      <c r="AA51" s="47">
        <f t="shared" si="25"/>
        <v>689.30399999999986</v>
      </c>
      <c r="AB51" s="47">
        <f t="shared" si="25"/>
        <v>721.99700000000007</v>
      </c>
      <c r="AC51" s="47">
        <f t="shared" si="25"/>
        <v>1085.1799999999998</v>
      </c>
      <c r="AD51" s="47">
        <f t="shared" si="25"/>
        <v>1177.6799999999998</v>
      </c>
      <c r="AE51" s="47">
        <f t="shared" si="25"/>
        <v>1006.1199999999999</v>
      </c>
      <c r="AF51" s="47">
        <f t="shared" si="25"/>
        <v>696.29899999999998</v>
      </c>
      <c r="AG51" s="47">
        <f t="shared" si="25"/>
        <v>479.40599999999966</v>
      </c>
      <c r="AH51" s="47">
        <f t="shared" si="25"/>
        <v>326.53799999999973</v>
      </c>
      <c r="AI51" s="47">
        <f t="shared" si="25"/>
        <v>-6.2000000000409727E-2</v>
      </c>
      <c r="AJ51" s="47">
        <f t="shared" si="25"/>
        <v>-6.2000000000409727E-2</v>
      </c>
      <c r="AK51" s="47">
        <f t="shared" si="25"/>
        <v>-6.2000000000409727E-2</v>
      </c>
      <c r="AL51" s="47">
        <f t="shared" si="25"/>
        <v>-6.2000000000409727E-2</v>
      </c>
      <c r="AM51" s="47">
        <f t="shared" si="25"/>
        <v>-6.2000000000409727E-2</v>
      </c>
      <c r="AN51" s="47">
        <f t="shared" si="25"/>
        <v>-6.2000000000409727E-2</v>
      </c>
      <c r="AO51" s="47">
        <f t="shared" si="25"/>
        <v>-6.2000000000409727E-2</v>
      </c>
      <c r="AP51" s="47">
        <f t="shared" si="25"/>
        <v>-6.2000000000409727E-2</v>
      </c>
      <c r="AQ51" s="47">
        <f t="shared" si="25"/>
        <v>-6.2000000000409727E-2</v>
      </c>
      <c r="AR51" s="47">
        <f t="shared" si="25"/>
        <v>-6.2000000000409727E-2</v>
      </c>
      <c r="AS51" s="47">
        <f t="shared" si="25"/>
        <v>-6.2000000000409727E-2</v>
      </c>
      <c r="AT51" s="47">
        <f t="shared" si="25"/>
        <v>-6.2000000000409727E-2</v>
      </c>
      <c r="AU51" s="47">
        <f t="shared" si="25"/>
        <v>-6.2000000000409727E-2</v>
      </c>
      <c r="AV51" s="47">
        <f t="shared" si="25"/>
        <v>-6.2000000000409727E-2</v>
      </c>
      <c r="AW51" s="47">
        <f t="shared" si="25"/>
        <v>-6.2000000000409727E-2</v>
      </c>
      <c r="AX51" s="47">
        <f t="shared" si="25"/>
        <v>-6.2000000000409727E-2</v>
      </c>
      <c r="AY51" s="47">
        <f t="shared" si="25"/>
        <v>-6.2000000000409727E-2</v>
      </c>
      <c r="AZ51" s="47">
        <f t="shared" si="25"/>
        <v>-6.2000000000409727E-2</v>
      </c>
      <c r="BA51" s="47">
        <f t="shared" si="25"/>
        <v>-6.2000000000409727E-2</v>
      </c>
      <c r="BB51" s="47">
        <f t="shared" si="25"/>
        <v>-6.2000000000409727E-2</v>
      </c>
      <c r="BC51" s="47">
        <f t="shared" si="25"/>
        <v>-6.2000000000409727E-2</v>
      </c>
      <c r="BD51" s="47">
        <f t="shared" si="25"/>
        <v>-6.2000000000409727E-2</v>
      </c>
      <c r="BE51" s="47">
        <f t="shared" si="25"/>
        <v>-6.2000000000409727E-2</v>
      </c>
      <c r="BF51" s="47">
        <f t="shared" si="25"/>
        <v>-6.2000000000409727E-2</v>
      </c>
      <c r="BG51" s="47">
        <f t="shared" si="25"/>
        <v>-6.2000000000409727E-2</v>
      </c>
      <c r="BH51" s="47">
        <f t="shared" si="25"/>
        <v>-6.2000000000409727E-2</v>
      </c>
      <c r="BI51" s="47">
        <f t="shared" si="25"/>
        <v>-6.2000000000409727E-2</v>
      </c>
      <c r="BJ51" s="47">
        <f t="shared" si="25"/>
        <v>-6.2000000000409727E-2</v>
      </c>
      <c r="BK51" s="47">
        <f t="shared" si="25"/>
        <v>-6.2000000000409727E-2</v>
      </c>
      <c r="BL51" s="47">
        <f t="shared" si="25"/>
        <v>-6.2000000000409727E-2</v>
      </c>
      <c r="BM51" s="47">
        <f t="shared" si="25"/>
        <v>-6.2000000000409727E-2</v>
      </c>
      <c r="BN51" s="47">
        <f t="shared" si="25"/>
        <v>-6.2000000000409727E-2</v>
      </c>
    </row>
    <row r="52" spans="1:66" x14ac:dyDescent="0.35">
      <c r="A52" t="s">
        <v>111</v>
      </c>
      <c r="D52" s="47">
        <f>D43-D44</f>
        <v>0</v>
      </c>
      <c r="E52" s="47">
        <f t="shared" ref="E52:BN52" si="26">E43-E44</f>
        <v>0</v>
      </c>
      <c r="F52" s="47">
        <f t="shared" si="26"/>
        <v>0</v>
      </c>
      <c r="G52" s="47">
        <f t="shared" si="26"/>
        <v>0</v>
      </c>
      <c r="H52" s="47">
        <f t="shared" si="26"/>
        <v>0</v>
      </c>
      <c r="I52" s="47">
        <f t="shared" si="26"/>
        <v>0</v>
      </c>
      <c r="J52" s="47">
        <f t="shared" si="26"/>
        <v>0</v>
      </c>
      <c r="K52" s="47">
        <f t="shared" si="26"/>
        <v>0</v>
      </c>
      <c r="L52" s="47">
        <f t="shared" si="26"/>
        <v>0</v>
      </c>
      <c r="M52" s="47">
        <f t="shared" si="26"/>
        <v>0</v>
      </c>
      <c r="N52" s="47">
        <f t="shared" si="26"/>
        <v>0</v>
      </c>
      <c r="O52" s="47">
        <f t="shared" si="26"/>
        <v>0</v>
      </c>
      <c r="P52" s="47">
        <f t="shared" si="26"/>
        <v>0</v>
      </c>
      <c r="Q52" s="47">
        <f t="shared" si="26"/>
        <v>0</v>
      </c>
      <c r="R52" s="47">
        <f t="shared" si="26"/>
        <v>0</v>
      </c>
      <c r="S52" s="47">
        <f t="shared" si="26"/>
        <v>0</v>
      </c>
      <c r="T52" s="47">
        <f t="shared" si="26"/>
        <v>0</v>
      </c>
      <c r="U52" s="47">
        <f t="shared" si="26"/>
        <v>0</v>
      </c>
      <c r="V52" s="47">
        <f t="shared" si="26"/>
        <v>0</v>
      </c>
      <c r="W52" s="47">
        <f t="shared" si="26"/>
        <v>0</v>
      </c>
      <c r="X52" s="47">
        <f t="shared" si="26"/>
        <v>0</v>
      </c>
      <c r="Y52" s="47">
        <f t="shared" si="26"/>
        <v>0</v>
      </c>
      <c r="Z52" s="47">
        <f t="shared" si="26"/>
        <v>0</v>
      </c>
      <c r="AA52" s="47">
        <f t="shared" si="26"/>
        <v>0</v>
      </c>
      <c r="AB52" s="47">
        <f t="shared" si="26"/>
        <v>0</v>
      </c>
      <c r="AC52" s="47">
        <f t="shared" si="26"/>
        <v>0</v>
      </c>
      <c r="AD52" s="47">
        <f t="shared" si="26"/>
        <v>0</v>
      </c>
      <c r="AE52" s="47">
        <f t="shared" si="26"/>
        <v>0</v>
      </c>
      <c r="AF52" s="47">
        <f t="shared" si="26"/>
        <v>0</v>
      </c>
      <c r="AG52" s="47">
        <f t="shared" si="26"/>
        <v>0</v>
      </c>
      <c r="AH52" s="47">
        <f t="shared" si="26"/>
        <v>0</v>
      </c>
      <c r="AI52" s="47">
        <f t="shared" si="26"/>
        <v>0</v>
      </c>
      <c r="AJ52" s="47">
        <f t="shared" si="26"/>
        <v>0</v>
      </c>
      <c r="AK52" s="47">
        <f t="shared" si="26"/>
        <v>0</v>
      </c>
      <c r="AL52" s="47">
        <f t="shared" si="26"/>
        <v>0</v>
      </c>
      <c r="AM52" s="47">
        <f t="shared" si="26"/>
        <v>0</v>
      </c>
      <c r="AN52" s="47">
        <f t="shared" si="26"/>
        <v>0</v>
      </c>
      <c r="AO52" s="47">
        <f t="shared" si="26"/>
        <v>0</v>
      </c>
      <c r="AP52" s="47">
        <f t="shared" si="26"/>
        <v>0</v>
      </c>
      <c r="AQ52" s="47">
        <f t="shared" si="26"/>
        <v>0</v>
      </c>
      <c r="AR52" s="47">
        <f t="shared" si="26"/>
        <v>0</v>
      </c>
      <c r="AS52" s="47">
        <f t="shared" si="26"/>
        <v>0</v>
      </c>
      <c r="AT52" s="47">
        <f t="shared" si="26"/>
        <v>0</v>
      </c>
      <c r="AU52" s="47">
        <f t="shared" si="26"/>
        <v>0</v>
      </c>
      <c r="AV52" s="47">
        <f t="shared" si="26"/>
        <v>0</v>
      </c>
      <c r="AW52" s="47">
        <f t="shared" si="26"/>
        <v>0</v>
      </c>
      <c r="AX52" s="47">
        <f t="shared" si="26"/>
        <v>0</v>
      </c>
      <c r="AY52" s="47">
        <f t="shared" si="26"/>
        <v>0</v>
      </c>
      <c r="AZ52" s="47">
        <f t="shared" si="26"/>
        <v>0</v>
      </c>
      <c r="BA52" s="47">
        <f t="shared" si="26"/>
        <v>0</v>
      </c>
      <c r="BB52" s="47">
        <f t="shared" si="26"/>
        <v>0</v>
      </c>
      <c r="BC52" s="47">
        <f t="shared" si="26"/>
        <v>0</v>
      </c>
      <c r="BD52" s="47">
        <f t="shared" si="26"/>
        <v>0</v>
      </c>
      <c r="BE52" s="47">
        <f t="shared" si="26"/>
        <v>0</v>
      </c>
      <c r="BF52" s="47">
        <f t="shared" si="26"/>
        <v>0</v>
      </c>
      <c r="BG52" s="47">
        <f t="shared" si="26"/>
        <v>0</v>
      </c>
      <c r="BH52" s="47">
        <f t="shared" si="26"/>
        <v>0</v>
      </c>
      <c r="BI52" s="47">
        <f t="shared" si="26"/>
        <v>0</v>
      </c>
      <c r="BJ52" s="47">
        <f t="shared" si="26"/>
        <v>0</v>
      </c>
      <c r="BK52" s="47">
        <f t="shared" si="26"/>
        <v>0</v>
      </c>
      <c r="BL52" s="47">
        <f t="shared" si="26"/>
        <v>0</v>
      </c>
      <c r="BM52" s="47">
        <f t="shared" si="26"/>
        <v>0</v>
      </c>
      <c r="BN52" s="47">
        <f t="shared" si="26"/>
        <v>0</v>
      </c>
    </row>
    <row r="53" spans="1:66" x14ac:dyDescent="0.35">
      <c r="A53" t="s">
        <v>112</v>
      </c>
      <c r="D53" s="47">
        <f>D44-D45</f>
        <v>0</v>
      </c>
      <c r="E53" s="47">
        <f>E44-E45</f>
        <v>0</v>
      </c>
      <c r="F53" s="47">
        <f t="shared" ref="F53:BN53" si="27">F44-F45</f>
        <v>0</v>
      </c>
      <c r="G53" s="47">
        <f t="shared" si="27"/>
        <v>0</v>
      </c>
      <c r="H53" s="47">
        <f t="shared" si="27"/>
        <v>0</v>
      </c>
      <c r="I53" s="47">
        <f t="shared" si="27"/>
        <v>0</v>
      </c>
      <c r="J53" s="47">
        <f t="shared" si="27"/>
        <v>0</v>
      </c>
      <c r="K53" s="47">
        <f t="shared" si="27"/>
        <v>0</v>
      </c>
      <c r="L53" s="47">
        <f t="shared" si="27"/>
        <v>0</v>
      </c>
      <c r="M53" s="47">
        <f t="shared" si="27"/>
        <v>0</v>
      </c>
      <c r="N53" s="47">
        <f t="shared" si="27"/>
        <v>0</v>
      </c>
      <c r="O53" s="47">
        <f t="shared" si="27"/>
        <v>0</v>
      </c>
      <c r="P53" s="47">
        <f t="shared" si="27"/>
        <v>0</v>
      </c>
      <c r="Q53" s="47">
        <f t="shared" si="27"/>
        <v>0</v>
      </c>
      <c r="R53" s="47">
        <f t="shared" si="27"/>
        <v>0</v>
      </c>
      <c r="S53" s="47">
        <f t="shared" si="27"/>
        <v>0</v>
      </c>
      <c r="T53" s="47">
        <f t="shared" si="27"/>
        <v>0</v>
      </c>
      <c r="U53" s="47">
        <f t="shared" si="27"/>
        <v>0</v>
      </c>
      <c r="V53" s="47">
        <f t="shared" si="27"/>
        <v>0</v>
      </c>
      <c r="W53" s="47">
        <f t="shared" si="27"/>
        <v>0</v>
      </c>
      <c r="X53" s="47">
        <f t="shared" si="27"/>
        <v>0</v>
      </c>
      <c r="Y53" s="47">
        <f t="shared" si="27"/>
        <v>0</v>
      </c>
      <c r="Z53" s="47">
        <f t="shared" si="27"/>
        <v>0</v>
      </c>
      <c r="AA53" s="47">
        <f t="shared" si="27"/>
        <v>0</v>
      </c>
      <c r="AB53" s="47">
        <f t="shared" si="27"/>
        <v>0</v>
      </c>
      <c r="AC53" s="47">
        <f t="shared" si="27"/>
        <v>0</v>
      </c>
      <c r="AD53" s="47">
        <f t="shared" si="27"/>
        <v>0</v>
      </c>
      <c r="AE53" s="47">
        <f t="shared" si="27"/>
        <v>0</v>
      </c>
      <c r="AF53" s="47">
        <f t="shared" si="27"/>
        <v>0</v>
      </c>
      <c r="AG53" s="47">
        <f t="shared" si="27"/>
        <v>0</v>
      </c>
      <c r="AH53" s="47">
        <f>AH44-AH45</f>
        <v>0</v>
      </c>
      <c r="AI53" s="47">
        <f t="shared" si="27"/>
        <v>0</v>
      </c>
      <c r="AJ53" s="47">
        <f t="shared" si="27"/>
        <v>0</v>
      </c>
      <c r="AK53" s="47">
        <f t="shared" si="27"/>
        <v>0</v>
      </c>
      <c r="AL53" s="47">
        <f t="shared" si="27"/>
        <v>0</v>
      </c>
      <c r="AM53" s="47">
        <f t="shared" si="27"/>
        <v>0</v>
      </c>
      <c r="AN53" s="47">
        <f t="shared" si="27"/>
        <v>0</v>
      </c>
      <c r="AO53" s="47">
        <f t="shared" si="27"/>
        <v>0</v>
      </c>
      <c r="AP53" s="47">
        <f t="shared" si="27"/>
        <v>0</v>
      </c>
      <c r="AQ53" s="47">
        <f t="shared" si="27"/>
        <v>0</v>
      </c>
      <c r="AR53" s="47">
        <f t="shared" si="27"/>
        <v>0</v>
      </c>
      <c r="AS53" s="47">
        <f t="shared" si="27"/>
        <v>0</v>
      </c>
      <c r="AT53" s="47">
        <f t="shared" si="27"/>
        <v>0</v>
      </c>
      <c r="AU53" s="47">
        <f t="shared" si="27"/>
        <v>0</v>
      </c>
      <c r="AV53" s="47">
        <f t="shared" si="27"/>
        <v>0</v>
      </c>
      <c r="AW53" s="47">
        <f t="shared" si="27"/>
        <v>0</v>
      </c>
      <c r="AX53" s="47">
        <f t="shared" si="27"/>
        <v>0</v>
      </c>
      <c r="AY53" s="47">
        <f t="shared" si="27"/>
        <v>0</v>
      </c>
      <c r="AZ53" s="47">
        <f t="shared" si="27"/>
        <v>0</v>
      </c>
      <c r="BA53" s="47">
        <f t="shared" si="27"/>
        <v>0</v>
      </c>
      <c r="BB53" s="47">
        <f t="shared" si="27"/>
        <v>0</v>
      </c>
      <c r="BC53" s="47">
        <f t="shared" si="27"/>
        <v>0</v>
      </c>
      <c r="BD53" s="47">
        <f t="shared" si="27"/>
        <v>0</v>
      </c>
      <c r="BE53" s="47">
        <f t="shared" si="27"/>
        <v>0</v>
      </c>
      <c r="BF53" s="47">
        <f t="shared" si="27"/>
        <v>0</v>
      </c>
      <c r="BG53" s="47">
        <f t="shared" si="27"/>
        <v>0</v>
      </c>
      <c r="BH53" s="47">
        <f t="shared" si="27"/>
        <v>0</v>
      </c>
      <c r="BI53" s="47">
        <f t="shared" si="27"/>
        <v>0</v>
      </c>
      <c r="BJ53" s="47">
        <f t="shared" si="27"/>
        <v>0</v>
      </c>
      <c r="BK53" s="47">
        <f t="shared" si="27"/>
        <v>0</v>
      </c>
      <c r="BL53" s="47">
        <f t="shared" si="27"/>
        <v>0</v>
      </c>
      <c r="BM53" s="47">
        <f t="shared" si="27"/>
        <v>0</v>
      </c>
      <c r="BN53" s="47">
        <f t="shared" si="27"/>
        <v>0</v>
      </c>
    </row>
    <row r="54" spans="1:66" x14ac:dyDescent="0.35">
      <c r="A54" t="s">
        <v>107</v>
      </c>
      <c r="D54" s="47">
        <f>D45-D47+D46</f>
        <v>0</v>
      </c>
      <c r="E54" s="47">
        <f t="shared" ref="E54:BN54" si="28">E45-E47+E46</f>
        <v>0</v>
      </c>
      <c r="F54" s="47">
        <f t="shared" si="28"/>
        <v>0</v>
      </c>
      <c r="G54" s="47">
        <f t="shared" si="28"/>
        <v>0</v>
      </c>
      <c r="H54" s="47">
        <f t="shared" si="28"/>
        <v>0</v>
      </c>
      <c r="I54" s="47">
        <f t="shared" si="28"/>
        <v>0</v>
      </c>
      <c r="J54" s="47">
        <f t="shared" si="28"/>
        <v>0</v>
      </c>
      <c r="K54" s="47">
        <f t="shared" si="28"/>
        <v>33.869</v>
      </c>
      <c r="L54" s="47">
        <f t="shared" si="28"/>
        <v>78.697000000000003</v>
      </c>
      <c r="M54" s="47">
        <f t="shared" si="28"/>
        <v>129.40700000000001</v>
      </c>
      <c r="N54" s="47">
        <f t="shared" si="28"/>
        <v>241.43900000000002</v>
      </c>
      <c r="O54" s="47">
        <f t="shared" si="28"/>
        <v>433.27699999999999</v>
      </c>
      <c r="P54" s="47">
        <f t="shared" si="28"/>
        <v>509.03999999999996</v>
      </c>
      <c r="Q54" s="47">
        <f t="shared" si="28"/>
        <v>543.51400000000001</v>
      </c>
      <c r="R54" s="47">
        <f t="shared" si="28"/>
        <v>601.03399999999999</v>
      </c>
      <c r="S54" s="47">
        <f t="shared" si="28"/>
        <v>657.9899999999999</v>
      </c>
      <c r="T54" s="47">
        <f t="shared" si="28"/>
        <v>680.76199999999994</v>
      </c>
      <c r="U54" s="47">
        <f t="shared" si="28"/>
        <v>701.06399999999985</v>
      </c>
      <c r="V54" s="47">
        <f t="shared" si="28"/>
        <v>701.06399999999985</v>
      </c>
      <c r="W54" s="47">
        <f t="shared" si="28"/>
        <v>725.3119999999999</v>
      </c>
      <c r="X54" s="47">
        <f t="shared" si="28"/>
        <v>759.93</v>
      </c>
      <c r="Y54" s="47">
        <f t="shared" si="28"/>
        <v>825.22</v>
      </c>
      <c r="Z54" s="47">
        <f t="shared" si="28"/>
        <v>860.49299999999994</v>
      </c>
      <c r="AA54" s="47">
        <f t="shared" si="28"/>
        <v>860.49299999999994</v>
      </c>
      <c r="AB54" s="47">
        <f t="shared" si="28"/>
        <v>860.49299999999994</v>
      </c>
      <c r="AC54" s="47">
        <f t="shared" si="28"/>
        <v>895.03099999999995</v>
      </c>
      <c r="AD54" s="47">
        <f t="shared" si="28"/>
        <v>895.03099999999995</v>
      </c>
      <c r="AE54" s="47">
        <f t="shared" si="28"/>
        <v>1066.5909999999999</v>
      </c>
      <c r="AF54" s="47">
        <f t="shared" si="28"/>
        <v>1376.4119999999998</v>
      </c>
      <c r="AG54" s="47">
        <f t="shared" si="28"/>
        <v>1421.7450000000001</v>
      </c>
      <c r="AH54" s="47">
        <f t="shared" si="28"/>
        <v>1534.6130000000003</v>
      </c>
      <c r="AI54" s="47">
        <f t="shared" si="28"/>
        <v>1547.2130000000002</v>
      </c>
      <c r="AJ54" s="47">
        <f t="shared" si="28"/>
        <v>1547.2130000000002</v>
      </c>
      <c r="AK54" s="47">
        <f t="shared" si="28"/>
        <v>1547.2130000000002</v>
      </c>
      <c r="AL54" s="47">
        <f t="shared" si="28"/>
        <v>1547.2130000000002</v>
      </c>
      <c r="AM54" s="47">
        <f t="shared" si="28"/>
        <v>1405.2130000000002</v>
      </c>
      <c r="AN54" s="47">
        <f t="shared" si="28"/>
        <v>1405.2130000000002</v>
      </c>
      <c r="AO54" s="47">
        <f t="shared" si="28"/>
        <v>1405.2130000000002</v>
      </c>
      <c r="AP54" s="47">
        <f t="shared" si="28"/>
        <v>1381.2130000000002</v>
      </c>
      <c r="AQ54" s="47">
        <f t="shared" si="28"/>
        <v>727.21300000000019</v>
      </c>
      <c r="AR54" s="47">
        <f t="shared" si="28"/>
        <v>699.21000000000026</v>
      </c>
      <c r="AS54" s="47">
        <f t="shared" si="28"/>
        <v>540.31000000000017</v>
      </c>
      <c r="AT54" s="47">
        <f t="shared" si="28"/>
        <v>540.31000000000017</v>
      </c>
      <c r="AU54" s="47">
        <f t="shared" si="28"/>
        <v>540.31000000000017</v>
      </c>
      <c r="AV54" s="47">
        <f t="shared" si="28"/>
        <v>540.31000000000017</v>
      </c>
      <c r="AW54" s="47">
        <f t="shared" si="28"/>
        <v>506.31000000000023</v>
      </c>
      <c r="AX54" s="47">
        <f t="shared" si="28"/>
        <v>506.31000000000023</v>
      </c>
      <c r="AY54" s="47">
        <f t="shared" si="28"/>
        <v>506.31000000000023</v>
      </c>
      <c r="AZ54" s="47">
        <f t="shared" si="28"/>
        <v>327.21000000000009</v>
      </c>
      <c r="BA54" s="47">
        <f t="shared" si="28"/>
        <v>327.21000000000009</v>
      </c>
      <c r="BB54" s="47">
        <f t="shared" si="28"/>
        <v>-8.9999999999633928E-2</v>
      </c>
      <c r="BC54" s="47">
        <f t="shared" si="28"/>
        <v>-8.9999999999633928E-2</v>
      </c>
      <c r="BD54" s="47">
        <f t="shared" si="28"/>
        <v>-8.9999999999633928E-2</v>
      </c>
      <c r="BE54" s="47">
        <f t="shared" si="28"/>
        <v>-8.9999999999633928E-2</v>
      </c>
      <c r="BF54" s="47">
        <f t="shared" si="28"/>
        <v>-8.9999999999633928E-2</v>
      </c>
      <c r="BG54" s="47">
        <f t="shared" si="28"/>
        <v>-8.9999999999633928E-2</v>
      </c>
      <c r="BH54" s="47">
        <f t="shared" si="28"/>
        <v>-8.9999999999633928E-2</v>
      </c>
      <c r="BI54" s="47">
        <f t="shared" si="28"/>
        <v>-8.9999999999633928E-2</v>
      </c>
      <c r="BJ54" s="47">
        <f t="shared" si="28"/>
        <v>-8.9999999999633928E-2</v>
      </c>
      <c r="BK54" s="47">
        <f t="shared" si="28"/>
        <v>-8.9999999999633928E-2</v>
      </c>
      <c r="BL54" s="47">
        <f t="shared" si="28"/>
        <v>-8.9999999999633928E-2</v>
      </c>
      <c r="BM54" s="47">
        <f t="shared" si="28"/>
        <v>-8.9999999999633928E-2</v>
      </c>
      <c r="BN54" s="47">
        <f t="shared" si="28"/>
        <v>-8.9999999999633928E-2</v>
      </c>
    </row>
    <row r="55" spans="1:66" x14ac:dyDescent="0.35">
      <c r="A55" t="s">
        <v>109</v>
      </c>
      <c r="D55" s="47">
        <f>D47</f>
        <v>0</v>
      </c>
      <c r="E55" s="47">
        <f t="shared" ref="E55:BN55" si="29">E47</f>
        <v>0</v>
      </c>
      <c r="F55" s="47">
        <f t="shared" si="29"/>
        <v>0</v>
      </c>
      <c r="G55" s="47">
        <f t="shared" si="29"/>
        <v>0</v>
      </c>
      <c r="H55" s="47">
        <f t="shared" si="29"/>
        <v>0</v>
      </c>
      <c r="I55" s="47">
        <f t="shared" si="29"/>
        <v>0</v>
      </c>
      <c r="J55" s="47">
        <f t="shared" si="29"/>
        <v>0</v>
      </c>
      <c r="K55" s="47">
        <f t="shared" si="29"/>
        <v>0</v>
      </c>
      <c r="L55" s="47">
        <f t="shared" si="29"/>
        <v>0</v>
      </c>
      <c r="M55" s="47">
        <f t="shared" si="29"/>
        <v>0</v>
      </c>
      <c r="N55" s="47">
        <f t="shared" si="29"/>
        <v>0</v>
      </c>
      <c r="O55" s="47">
        <f t="shared" si="29"/>
        <v>0</v>
      </c>
      <c r="P55" s="47">
        <f t="shared" si="29"/>
        <v>0</v>
      </c>
      <c r="Q55" s="47">
        <f t="shared" si="29"/>
        <v>0</v>
      </c>
      <c r="R55" s="47">
        <f t="shared" si="29"/>
        <v>0</v>
      </c>
      <c r="S55" s="47">
        <f t="shared" si="29"/>
        <v>0</v>
      </c>
      <c r="T55" s="47">
        <f t="shared" si="29"/>
        <v>0</v>
      </c>
      <c r="U55" s="47">
        <f t="shared" si="29"/>
        <v>0</v>
      </c>
      <c r="V55" s="47">
        <f t="shared" si="29"/>
        <v>0</v>
      </c>
      <c r="W55" s="47">
        <f t="shared" si="29"/>
        <v>0</v>
      </c>
      <c r="X55" s="47">
        <f t="shared" si="29"/>
        <v>0</v>
      </c>
      <c r="Y55" s="47">
        <f t="shared" si="29"/>
        <v>0</v>
      </c>
      <c r="Z55" s="47">
        <f t="shared" si="29"/>
        <v>0</v>
      </c>
      <c r="AA55" s="47">
        <f t="shared" si="29"/>
        <v>0</v>
      </c>
      <c r="AB55" s="47">
        <f t="shared" si="29"/>
        <v>0</v>
      </c>
      <c r="AC55" s="47">
        <f t="shared" si="29"/>
        <v>0</v>
      </c>
      <c r="AD55" s="47">
        <f t="shared" si="29"/>
        <v>0</v>
      </c>
      <c r="AE55" s="47">
        <f t="shared" si="29"/>
        <v>0</v>
      </c>
      <c r="AF55" s="47">
        <f t="shared" si="29"/>
        <v>0</v>
      </c>
      <c r="AG55" s="47">
        <f t="shared" si="29"/>
        <v>171.56</v>
      </c>
      <c r="AH55" s="47">
        <f t="shared" si="29"/>
        <v>211.56</v>
      </c>
      <c r="AI55" s="47">
        <f t="shared" si="29"/>
        <v>525.55999999999995</v>
      </c>
      <c r="AJ55" s="47">
        <f t="shared" si="29"/>
        <v>525.55999999999995</v>
      </c>
      <c r="AK55" s="47">
        <f t="shared" si="29"/>
        <v>525.55999999999995</v>
      </c>
      <c r="AL55" s="47">
        <f t="shared" si="29"/>
        <v>525.55999999999995</v>
      </c>
      <c r="AM55" s="47">
        <f t="shared" si="29"/>
        <v>667.56</v>
      </c>
      <c r="AN55" s="47">
        <f t="shared" si="29"/>
        <v>667.56</v>
      </c>
      <c r="AO55" s="47">
        <f t="shared" si="29"/>
        <v>667.56</v>
      </c>
      <c r="AP55" s="47">
        <f t="shared" si="29"/>
        <v>691.56</v>
      </c>
      <c r="AQ55" s="47">
        <f t="shared" si="29"/>
        <v>1345.56</v>
      </c>
      <c r="AR55" s="47">
        <f t="shared" si="29"/>
        <v>1373.5629999999999</v>
      </c>
      <c r="AS55" s="47">
        <f t="shared" si="29"/>
        <v>1532.463</v>
      </c>
      <c r="AT55" s="47">
        <f t="shared" si="29"/>
        <v>1532.463</v>
      </c>
      <c r="AU55" s="47">
        <f t="shared" si="29"/>
        <v>1532.463</v>
      </c>
      <c r="AV55" s="47">
        <f t="shared" si="29"/>
        <v>1532.463</v>
      </c>
      <c r="AW55" s="47">
        <f t="shared" si="29"/>
        <v>1566.463</v>
      </c>
      <c r="AX55" s="47">
        <f t="shared" si="29"/>
        <v>1566.463</v>
      </c>
      <c r="AY55" s="47">
        <f t="shared" si="29"/>
        <v>1566.463</v>
      </c>
      <c r="AZ55" s="47">
        <f t="shared" si="29"/>
        <v>1745.5630000000001</v>
      </c>
      <c r="BA55" s="47">
        <f t="shared" si="29"/>
        <v>1745.5630000000001</v>
      </c>
      <c r="BB55" s="47">
        <f t="shared" si="29"/>
        <v>2072.8629999999998</v>
      </c>
      <c r="BC55" s="47">
        <f t="shared" si="29"/>
        <v>2072.8629999999998</v>
      </c>
      <c r="BD55" s="47">
        <f t="shared" si="29"/>
        <v>2072.8629999999998</v>
      </c>
      <c r="BE55" s="47">
        <f t="shared" si="29"/>
        <v>2072.8629999999998</v>
      </c>
      <c r="BF55" s="47">
        <f t="shared" si="29"/>
        <v>2072.8629999999998</v>
      </c>
      <c r="BG55" s="47">
        <f t="shared" si="29"/>
        <v>2072.8629999999998</v>
      </c>
      <c r="BH55" s="47">
        <f t="shared" si="29"/>
        <v>2072.8629999999998</v>
      </c>
      <c r="BI55" s="47">
        <f t="shared" si="29"/>
        <v>2072.8629999999998</v>
      </c>
      <c r="BJ55" s="47">
        <f t="shared" si="29"/>
        <v>2072.8629999999998</v>
      </c>
      <c r="BK55" s="47">
        <f t="shared" si="29"/>
        <v>2072.8629999999998</v>
      </c>
      <c r="BL55" s="47">
        <f t="shared" si="29"/>
        <v>2072.8629999999998</v>
      </c>
      <c r="BM55" s="47">
        <f t="shared" si="29"/>
        <v>2072.8629999999998</v>
      </c>
      <c r="BN55" s="47">
        <f t="shared" si="29"/>
        <v>2072.8629999999998</v>
      </c>
    </row>
    <row r="57" spans="1:66" x14ac:dyDescent="0.35">
      <c r="A57" s="2" t="s">
        <v>113</v>
      </c>
    </row>
    <row r="58" spans="1:66" x14ac:dyDescent="0.35">
      <c r="A58" t="s">
        <v>104</v>
      </c>
      <c r="D58" s="47">
        <f>D41-C41</f>
        <v>0</v>
      </c>
      <c r="E58" s="47">
        <f t="shared" ref="E58:BN58" si="30">E41-D41</f>
        <v>729.56120186411579</v>
      </c>
      <c r="F58" s="47">
        <f t="shared" si="30"/>
        <v>174.09561605755869</v>
      </c>
      <c r="G58" s="47">
        <f t="shared" si="30"/>
        <v>63.379500040879748</v>
      </c>
      <c r="H58" s="47">
        <f t="shared" si="30"/>
        <v>231.0460477475267</v>
      </c>
      <c r="I58" s="47">
        <f t="shared" si="30"/>
        <v>181.12725696999428</v>
      </c>
      <c r="J58" s="47">
        <f t="shared" si="30"/>
        <v>31.091572234486193</v>
      </c>
      <c r="K58" s="47">
        <f t="shared" si="30"/>
        <v>47.553424903932637</v>
      </c>
      <c r="L58" s="47">
        <f t="shared" si="30"/>
        <v>32.663925271850303</v>
      </c>
      <c r="M58" s="47">
        <f t="shared" si="30"/>
        <v>29.171543618673923</v>
      </c>
      <c r="N58" s="47">
        <f t="shared" si="30"/>
        <v>25.208432671081709</v>
      </c>
      <c r="O58" s="47">
        <f t="shared" si="30"/>
        <v>24.973068023873793</v>
      </c>
      <c r="P58" s="47">
        <f t="shared" si="30"/>
        <v>173.86324176273411</v>
      </c>
      <c r="Q58" s="47">
        <f t="shared" si="30"/>
        <v>203.13043332515736</v>
      </c>
      <c r="R58" s="47">
        <f t="shared" si="30"/>
        <v>18.91316082086496</v>
      </c>
      <c r="S58" s="47">
        <f t="shared" si="30"/>
        <v>29.621763960428325</v>
      </c>
      <c r="T58" s="47">
        <f t="shared" si="30"/>
        <v>27.946866159757974</v>
      </c>
      <c r="U58" s="47">
        <f t="shared" si="30"/>
        <v>35.089841386640728</v>
      </c>
      <c r="V58" s="47">
        <f t="shared" si="30"/>
        <v>12.757545172103619</v>
      </c>
      <c r="W58" s="47">
        <f t="shared" si="30"/>
        <v>1.6055580083393579</v>
      </c>
      <c r="X58" s="47">
        <f t="shared" si="30"/>
        <v>0</v>
      </c>
      <c r="Y58" s="47">
        <f t="shared" si="30"/>
        <v>0</v>
      </c>
      <c r="Z58" s="47">
        <f t="shared" si="30"/>
        <v>0</v>
      </c>
      <c r="AA58" s="47">
        <f t="shared" si="30"/>
        <v>0</v>
      </c>
      <c r="AB58" s="47">
        <f t="shared" si="30"/>
        <v>0</v>
      </c>
      <c r="AC58" s="47">
        <f t="shared" si="30"/>
        <v>0</v>
      </c>
      <c r="AD58" s="47">
        <f t="shared" si="30"/>
        <v>0</v>
      </c>
      <c r="AE58" s="47">
        <f t="shared" si="30"/>
        <v>0</v>
      </c>
      <c r="AF58" s="47">
        <f t="shared" si="30"/>
        <v>0</v>
      </c>
      <c r="AG58" s="47">
        <f t="shared" si="30"/>
        <v>0</v>
      </c>
      <c r="AH58" s="47">
        <f t="shared" si="30"/>
        <v>0</v>
      </c>
      <c r="AI58" s="47">
        <f t="shared" si="30"/>
        <v>0</v>
      </c>
      <c r="AJ58" s="47">
        <f t="shared" si="30"/>
        <v>0</v>
      </c>
      <c r="AK58" s="47">
        <f t="shared" si="30"/>
        <v>0</v>
      </c>
      <c r="AL58" s="47">
        <f t="shared" si="30"/>
        <v>0</v>
      </c>
      <c r="AM58" s="47">
        <f t="shared" si="30"/>
        <v>0</v>
      </c>
      <c r="AN58" s="47">
        <f t="shared" si="30"/>
        <v>0</v>
      </c>
      <c r="AO58" s="47">
        <f t="shared" si="30"/>
        <v>0</v>
      </c>
      <c r="AP58" s="47">
        <f t="shared" si="30"/>
        <v>0</v>
      </c>
      <c r="AQ58" s="47">
        <f t="shared" si="30"/>
        <v>0</v>
      </c>
      <c r="AR58" s="47">
        <f t="shared" si="30"/>
        <v>0</v>
      </c>
      <c r="AS58" s="47">
        <f t="shared" si="30"/>
        <v>0</v>
      </c>
      <c r="AT58" s="47">
        <f t="shared" si="30"/>
        <v>0</v>
      </c>
      <c r="AU58" s="47">
        <f t="shared" si="30"/>
        <v>0</v>
      </c>
      <c r="AV58" s="47">
        <f t="shared" si="30"/>
        <v>0</v>
      </c>
      <c r="AW58" s="47">
        <f t="shared" si="30"/>
        <v>0</v>
      </c>
      <c r="AX58" s="47">
        <f t="shared" si="30"/>
        <v>0</v>
      </c>
      <c r="AY58" s="47">
        <f t="shared" si="30"/>
        <v>0</v>
      </c>
      <c r="AZ58" s="47">
        <f t="shared" si="30"/>
        <v>0</v>
      </c>
      <c r="BA58" s="47">
        <f t="shared" si="30"/>
        <v>0</v>
      </c>
      <c r="BB58" s="47">
        <f t="shared" si="30"/>
        <v>0</v>
      </c>
      <c r="BC58" s="47">
        <f t="shared" si="30"/>
        <v>0</v>
      </c>
      <c r="BD58" s="47">
        <f t="shared" si="30"/>
        <v>0</v>
      </c>
      <c r="BE58" s="47">
        <f t="shared" si="30"/>
        <v>0</v>
      </c>
      <c r="BF58" s="47">
        <f t="shared" si="30"/>
        <v>0</v>
      </c>
      <c r="BG58" s="47">
        <f t="shared" si="30"/>
        <v>0</v>
      </c>
      <c r="BH58" s="47">
        <f t="shared" si="30"/>
        <v>0</v>
      </c>
      <c r="BI58" s="47">
        <f t="shared" si="30"/>
        <v>0</v>
      </c>
      <c r="BJ58" s="47">
        <f t="shared" si="30"/>
        <v>0</v>
      </c>
      <c r="BK58" s="47">
        <f t="shared" si="30"/>
        <v>0</v>
      </c>
      <c r="BL58" s="47">
        <f t="shared" si="30"/>
        <v>0</v>
      </c>
      <c r="BM58" s="47">
        <f t="shared" si="30"/>
        <v>0</v>
      </c>
      <c r="BN58" s="47">
        <f t="shared" si="30"/>
        <v>0</v>
      </c>
    </row>
    <row r="59" spans="1:66" x14ac:dyDescent="0.35">
      <c r="A59" t="s">
        <v>111</v>
      </c>
      <c r="D59" s="47">
        <f t="shared" ref="D59:BN59" si="31">D43-C43</f>
        <v>0</v>
      </c>
      <c r="E59" s="47">
        <f t="shared" si="31"/>
        <v>0</v>
      </c>
      <c r="F59" s="47">
        <f t="shared" si="31"/>
        <v>0</v>
      </c>
      <c r="G59" s="47">
        <f t="shared" si="31"/>
        <v>0</v>
      </c>
      <c r="H59" s="47">
        <f t="shared" si="31"/>
        <v>0</v>
      </c>
      <c r="I59" s="47">
        <f t="shared" si="31"/>
        <v>0</v>
      </c>
      <c r="J59" s="47">
        <f t="shared" si="31"/>
        <v>0</v>
      </c>
      <c r="K59" s="47">
        <f t="shared" si="31"/>
        <v>33.869</v>
      </c>
      <c r="L59" s="47">
        <f t="shared" si="31"/>
        <v>44.828000000000003</v>
      </c>
      <c r="M59" s="47">
        <f t="shared" si="31"/>
        <v>50.710000000000008</v>
      </c>
      <c r="N59" s="47">
        <f t="shared" si="31"/>
        <v>112.03200000000001</v>
      </c>
      <c r="O59" s="47">
        <f t="shared" si="31"/>
        <v>191.83799999999997</v>
      </c>
      <c r="P59" s="47">
        <f t="shared" si="31"/>
        <v>75.762999999999977</v>
      </c>
      <c r="Q59" s="47">
        <f t="shared" si="31"/>
        <v>34.474000000000046</v>
      </c>
      <c r="R59" s="47">
        <f t="shared" si="31"/>
        <v>57.519999999999982</v>
      </c>
      <c r="S59" s="47">
        <f t="shared" si="31"/>
        <v>56.955999999999904</v>
      </c>
      <c r="T59" s="47">
        <f t="shared" si="31"/>
        <v>22.772000000000048</v>
      </c>
      <c r="U59" s="47">
        <f t="shared" si="31"/>
        <v>20.301999999999907</v>
      </c>
      <c r="V59" s="47">
        <f t="shared" si="31"/>
        <v>0</v>
      </c>
      <c r="W59" s="47">
        <f t="shared" si="31"/>
        <v>24.248000000000047</v>
      </c>
      <c r="X59" s="47">
        <f t="shared" si="31"/>
        <v>34.618000000000052</v>
      </c>
      <c r="Y59" s="47">
        <f t="shared" si="31"/>
        <v>65.290000000000077</v>
      </c>
      <c r="Z59" s="47">
        <f t="shared" si="31"/>
        <v>35.272999999999911</v>
      </c>
      <c r="AA59" s="47">
        <f t="shared" si="31"/>
        <v>0</v>
      </c>
      <c r="AB59" s="47">
        <f t="shared" si="31"/>
        <v>0</v>
      </c>
      <c r="AC59" s="47">
        <f t="shared" si="31"/>
        <v>34.538000000000011</v>
      </c>
      <c r="AD59" s="47">
        <f t="shared" si="31"/>
        <v>0</v>
      </c>
      <c r="AE59" s="47">
        <f t="shared" si="31"/>
        <v>0</v>
      </c>
      <c r="AF59" s="47">
        <f t="shared" si="31"/>
        <v>309.82099999999991</v>
      </c>
      <c r="AG59" s="47">
        <f t="shared" si="31"/>
        <v>216.89300000000026</v>
      </c>
      <c r="AH59" s="47">
        <f t="shared" si="31"/>
        <v>152.86799999999994</v>
      </c>
      <c r="AI59" s="47">
        <f t="shared" si="31"/>
        <v>326.60000000000014</v>
      </c>
      <c r="AJ59" s="47">
        <f t="shared" si="31"/>
        <v>0</v>
      </c>
      <c r="AK59" s="47">
        <f t="shared" si="31"/>
        <v>0</v>
      </c>
      <c r="AL59" s="47">
        <f t="shared" si="31"/>
        <v>0</v>
      </c>
      <c r="AM59" s="47">
        <f t="shared" si="31"/>
        <v>0</v>
      </c>
      <c r="AN59" s="47">
        <f t="shared" si="31"/>
        <v>0</v>
      </c>
      <c r="AO59" s="47">
        <f t="shared" si="31"/>
        <v>0</v>
      </c>
      <c r="AP59" s="47">
        <f t="shared" si="31"/>
        <v>0</v>
      </c>
      <c r="AQ59" s="47">
        <f t="shared" si="31"/>
        <v>0</v>
      </c>
      <c r="AR59" s="47">
        <f t="shared" si="31"/>
        <v>0</v>
      </c>
      <c r="AS59" s="47">
        <f t="shared" si="31"/>
        <v>0</v>
      </c>
      <c r="AT59" s="47">
        <f t="shared" si="31"/>
        <v>0</v>
      </c>
      <c r="AU59" s="47">
        <f t="shared" si="31"/>
        <v>0</v>
      </c>
      <c r="AV59" s="47">
        <f t="shared" si="31"/>
        <v>0</v>
      </c>
      <c r="AW59" s="47">
        <f t="shared" si="31"/>
        <v>0</v>
      </c>
      <c r="AX59" s="47">
        <f t="shared" si="31"/>
        <v>0</v>
      </c>
      <c r="AY59" s="47">
        <f t="shared" si="31"/>
        <v>0</v>
      </c>
      <c r="AZ59" s="47">
        <f t="shared" si="31"/>
        <v>0</v>
      </c>
      <c r="BA59" s="47">
        <f t="shared" si="31"/>
        <v>0</v>
      </c>
      <c r="BB59" s="47">
        <f t="shared" si="31"/>
        <v>0</v>
      </c>
      <c r="BC59" s="47">
        <f t="shared" si="31"/>
        <v>0</v>
      </c>
      <c r="BD59" s="47">
        <f t="shared" si="31"/>
        <v>0</v>
      </c>
      <c r="BE59" s="47">
        <f t="shared" si="31"/>
        <v>0</v>
      </c>
      <c r="BF59" s="47">
        <f t="shared" si="31"/>
        <v>0</v>
      </c>
      <c r="BG59" s="47">
        <f t="shared" si="31"/>
        <v>0</v>
      </c>
      <c r="BH59" s="47">
        <f t="shared" si="31"/>
        <v>0</v>
      </c>
      <c r="BI59" s="47">
        <f t="shared" si="31"/>
        <v>0</v>
      </c>
      <c r="BJ59" s="47">
        <f t="shared" si="31"/>
        <v>0</v>
      </c>
      <c r="BK59" s="47">
        <f t="shared" si="31"/>
        <v>0</v>
      </c>
      <c r="BL59" s="47">
        <f t="shared" si="31"/>
        <v>0</v>
      </c>
      <c r="BM59" s="47">
        <f t="shared" si="31"/>
        <v>0</v>
      </c>
      <c r="BN59" s="47">
        <f t="shared" si="31"/>
        <v>0</v>
      </c>
    </row>
    <row r="60" spans="1:66" x14ac:dyDescent="0.35">
      <c r="A60" t="s">
        <v>112</v>
      </c>
      <c r="D60" s="47">
        <f t="shared" ref="D60:BN60" si="32">D44-C44</f>
        <v>0</v>
      </c>
      <c r="E60" s="47">
        <f t="shared" si="32"/>
        <v>0</v>
      </c>
      <c r="F60" s="47">
        <f t="shared" si="32"/>
        <v>0</v>
      </c>
      <c r="G60" s="47">
        <f t="shared" si="32"/>
        <v>0</v>
      </c>
      <c r="H60" s="47">
        <f t="shared" si="32"/>
        <v>0</v>
      </c>
      <c r="I60" s="47">
        <f t="shared" si="32"/>
        <v>0</v>
      </c>
      <c r="J60" s="47">
        <f t="shared" si="32"/>
        <v>0</v>
      </c>
      <c r="K60" s="47">
        <f t="shared" si="32"/>
        <v>33.869</v>
      </c>
      <c r="L60" s="47">
        <f t="shared" si="32"/>
        <v>44.828000000000003</v>
      </c>
      <c r="M60" s="47">
        <f t="shared" si="32"/>
        <v>50.710000000000008</v>
      </c>
      <c r="N60" s="47">
        <f t="shared" si="32"/>
        <v>112.03200000000001</v>
      </c>
      <c r="O60" s="47">
        <f t="shared" si="32"/>
        <v>191.83799999999997</v>
      </c>
      <c r="P60" s="47">
        <f t="shared" si="32"/>
        <v>75.762999999999977</v>
      </c>
      <c r="Q60" s="47">
        <f t="shared" si="32"/>
        <v>34.474000000000046</v>
      </c>
      <c r="R60" s="47">
        <f t="shared" si="32"/>
        <v>57.519999999999982</v>
      </c>
      <c r="S60" s="47">
        <f t="shared" si="32"/>
        <v>56.955999999999904</v>
      </c>
      <c r="T60" s="47">
        <f t="shared" si="32"/>
        <v>22.772000000000048</v>
      </c>
      <c r="U60" s="47">
        <f t="shared" si="32"/>
        <v>20.301999999999907</v>
      </c>
      <c r="V60" s="47">
        <f t="shared" si="32"/>
        <v>0</v>
      </c>
      <c r="W60" s="47">
        <f t="shared" si="32"/>
        <v>24.248000000000047</v>
      </c>
      <c r="X60" s="47">
        <f t="shared" si="32"/>
        <v>34.618000000000052</v>
      </c>
      <c r="Y60" s="47">
        <f t="shared" si="32"/>
        <v>65.290000000000077</v>
      </c>
      <c r="Z60" s="47">
        <f t="shared" si="32"/>
        <v>35.272999999999911</v>
      </c>
      <c r="AA60" s="47">
        <f t="shared" si="32"/>
        <v>0</v>
      </c>
      <c r="AB60" s="47">
        <f t="shared" si="32"/>
        <v>0</v>
      </c>
      <c r="AC60" s="47">
        <f t="shared" si="32"/>
        <v>34.538000000000011</v>
      </c>
      <c r="AD60" s="47">
        <f t="shared" si="32"/>
        <v>0</v>
      </c>
      <c r="AE60" s="47">
        <f t="shared" si="32"/>
        <v>0</v>
      </c>
      <c r="AF60" s="47">
        <f t="shared" si="32"/>
        <v>309.82099999999991</v>
      </c>
      <c r="AG60" s="47">
        <f t="shared" si="32"/>
        <v>216.89300000000026</v>
      </c>
      <c r="AH60" s="47">
        <f t="shared" si="32"/>
        <v>152.86799999999994</v>
      </c>
      <c r="AI60" s="47">
        <f t="shared" si="32"/>
        <v>326.60000000000014</v>
      </c>
      <c r="AJ60" s="47">
        <f t="shared" si="32"/>
        <v>0</v>
      </c>
      <c r="AK60" s="47">
        <f t="shared" si="32"/>
        <v>0</v>
      </c>
      <c r="AL60" s="47">
        <f t="shared" si="32"/>
        <v>0</v>
      </c>
      <c r="AM60" s="47">
        <f t="shared" si="32"/>
        <v>0</v>
      </c>
      <c r="AN60" s="47">
        <f t="shared" si="32"/>
        <v>0</v>
      </c>
      <c r="AO60" s="47">
        <f t="shared" si="32"/>
        <v>0</v>
      </c>
      <c r="AP60" s="47">
        <f t="shared" si="32"/>
        <v>0</v>
      </c>
      <c r="AQ60" s="47">
        <f t="shared" si="32"/>
        <v>0</v>
      </c>
      <c r="AR60" s="47">
        <f t="shared" si="32"/>
        <v>0</v>
      </c>
      <c r="AS60" s="47">
        <f t="shared" si="32"/>
        <v>0</v>
      </c>
      <c r="AT60" s="47">
        <f t="shared" si="32"/>
        <v>0</v>
      </c>
      <c r="AU60" s="47">
        <f t="shared" si="32"/>
        <v>0</v>
      </c>
      <c r="AV60" s="47">
        <f t="shared" si="32"/>
        <v>0</v>
      </c>
      <c r="AW60" s="47">
        <f t="shared" si="32"/>
        <v>0</v>
      </c>
      <c r="AX60" s="47">
        <f t="shared" si="32"/>
        <v>0</v>
      </c>
      <c r="AY60" s="47">
        <f t="shared" si="32"/>
        <v>0</v>
      </c>
      <c r="AZ60" s="47">
        <f t="shared" si="32"/>
        <v>0</v>
      </c>
      <c r="BA60" s="47">
        <f t="shared" si="32"/>
        <v>0</v>
      </c>
      <c r="BB60" s="47">
        <f t="shared" si="32"/>
        <v>0</v>
      </c>
      <c r="BC60" s="47">
        <f t="shared" si="32"/>
        <v>0</v>
      </c>
      <c r="BD60" s="47">
        <f t="shared" si="32"/>
        <v>0</v>
      </c>
      <c r="BE60" s="47">
        <f t="shared" si="32"/>
        <v>0</v>
      </c>
      <c r="BF60" s="47">
        <f t="shared" si="32"/>
        <v>0</v>
      </c>
      <c r="BG60" s="47">
        <f t="shared" si="32"/>
        <v>0</v>
      </c>
      <c r="BH60" s="47">
        <f t="shared" si="32"/>
        <v>0</v>
      </c>
      <c r="BI60" s="47">
        <f t="shared" si="32"/>
        <v>0</v>
      </c>
      <c r="BJ60" s="47">
        <f t="shared" si="32"/>
        <v>0</v>
      </c>
      <c r="BK60" s="47">
        <f t="shared" si="32"/>
        <v>0</v>
      </c>
      <c r="BL60" s="47">
        <f t="shared" si="32"/>
        <v>0</v>
      </c>
      <c r="BM60" s="47">
        <f t="shared" si="32"/>
        <v>0</v>
      </c>
      <c r="BN60" s="47">
        <f t="shared" si="32"/>
        <v>0</v>
      </c>
    </row>
    <row r="61" spans="1:66" x14ac:dyDescent="0.35">
      <c r="A61" t="s">
        <v>107</v>
      </c>
      <c r="D61" s="47">
        <f t="shared" ref="D61:BN61" si="33">D45-C45</f>
        <v>0</v>
      </c>
      <c r="E61" s="47">
        <f t="shared" si="33"/>
        <v>0</v>
      </c>
      <c r="F61" s="47">
        <f t="shared" si="33"/>
        <v>0</v>
      </c>
      <c r="G61" s="47">
        <f t="shared" si="33"/>
        <v>0</v>
      </c>
      <c r="H61" s="47">
        <f t="shared" si="33"/>
        <v>0</v>
      </c>
      <c r="I61" s="47">
        <f t="shared" si="33"/>
        <v>0</v>
      </c>
      <c r="J61" s="47">
        <f t="shared" si="33"/>
        <v>0</v>
      </c>
      <c r="K61" s="47">
        <f t="shared" si="33"/>
        <v>33.869</v>
      </c>
      <c r="L61" s="47">
        <f t="shared" si="33"/>
        <v>44.828000000000003</v>
      </c>
      <c r="M61" s="47">
        <f t="shared" si="33"/>
        <v>50.710000000000008</v>
      </c>
      <c r="N61" s="47">
        <f t="shared" si="33"/>
        <v>112.03200000000001</v>
      </c>
      <c r="O61" s="47">
        <f t="shared" si="33"/>
        <v>191.83799999999997</v>
      </c>
      <c r="P61" s="47">
        <f t="shared" si="33"/>
        <v>75.762999999999977</v>
      </c>
      <c r="Q61" s="47">
        <f t="shared" si="33"/>
        <v>34.474000000000046</v>
      </c>
      <c r="R61" s="47">
        <f t="shared" si="33"/>
        <v>57.519999999999982</v>
      </c>
      <c r="S61" s="47">
        <f t="shared" si="33"/>
        <v>56.955999999999904</v>
      </c>
      <c r="T61" s="47">
        <f t="shared" si="33"/>
        <v>22.772000000000048</v>
      </c>
      <c r="U61" s="47">
        <f t="shared" si="33"/>
        <v>20.301999999999907</v>
      </c>
      <c r="V61" s="47">
        <f t="shared" si="33"/>
        <v>0</v>
      </c>
      <c r="W61" s="47">
        <f t="shared" si="33"/>
        <v>24.248000000000047</v>
      </c>
      <c r="X61" s="47">
        <f t="shared" si="33"/>
        <v>34.618000000000052</v>
      </c>
      <c r="Y61" s="47">
        <f t="shared" si="33"/>
        <v>65.290000000000077</v>
      </c>
      <c r="Z61" s="47">
        <f t="shared" si="33"/>
        <v>35.272999999999911</v>
      </c>
      <c r="AA61" s="47">
        <f t="shared" si="33"/>
        <v>0</v>
      </c>
      <c r="AB61" s="47">
        <f t="shared" si="33"/>
        <v>0</v>
      </c>
      <c r="AC61" s="47">
        <f t="shared" si="33"/>
        <v>34.538000000000011</v>
      </c>
      <c r="AD61" s="47">
        <f t="shared" si="33"/>
        <v>0</v>
      </c>
      <c r="AE61" s="47">
        <f t="shared" si="33"/>
        <v>0</v>
      </c>
      <c r="AF61" s="47">
        <f t="shared" si="33"/>
        <v>309.82099999999991</v>
      </c>
      <c r="AG61" s="47">
        <f t="shared" si="33"/>
        <v>216.89300000000026</v>
      </c>
      <c r="AH61" s="47">
        <f t="shared" si="33"/>
        <v>152.86800000000017</v>
      </c>
      <c r="AI61" s="47">
        <f t="shared" si="33"/>
        <v>326.59999999999991</v>
      </c>
      <c r="AJ61" s="47">
        <f t="shared" si="33"/>
        <v>0</v>
      </c>
      <c r="AK61" s="47">
        <f t="shared" si="33"/>
        <v>0</v>
      </c>
      <c r="AL61" s="47">
        <f t="shared" si="33"/>
        <v>0</v>
      </c>
      <c r="AM61" s="47">
        <f t="shared" si="33"/>
        <v>0</v>
      </c>
      <c r="AN61" s="47">
        <f t="shared" si="33"/>
        <v>0</v>
      </c>
      <c r="AO61" s="47">
        <f t="shared" si="33"/>
        <v>0</v>
      </c>
      <c r="AP61" s="47">
        <f t="shared" si="33"/>
        <v>0</v>
      </c>
      <c r="AQ61" s="47">
        <f t="shared" si="33"/>
        <v>0</v>
      </c>
      <c r="AR61" s="47">
        <f t="shared" si="33"/>
        <v>0</v>
      </c>
      <c r="AS61" s="47">
        <f t="shared" si="33"/>
        <v>0</v>
      </c>
      <c r="AT61" s="47">
        <f t="shared" si="33"/>
        <v>0</v>
      </c>
      <c r="AU61" s="47">
        <f t="shared" si="33"/>
        <v>0</v>
      </c>
      <c r="AV61" s="47">
        <f t="shared" si="33"/>
        <v>0</v>
      </c>
      <c r="AW61" s="47">
        <f t="shared" si="33"/>
        <v>0</v>
      </c>
      <c r="AX61" s="47">
        <f t="shared" si="33"/>
        <v>0</v>
      </c>
      <c r="AY61" s="47">
        <f t="shared" si="33"/>
        <v>0</v>
      </c>
      <c r="AZ61" s="47">
        <f t="shared" si="33"/>
        <v>0</v>
      </c>
      <c r="BA61" s="47">
        <f t="shared" si="33"/>
        <v>0</v>
      </c>
      <c r="BB61" s="47">
        <f t="shared" si="33"/>
        <v>0</v>
      </c>
      <c r="BC61" s="47">
        <f t="shared" si="33"/>
        <v>0</v>
      </c>
      <c r="BD61" s="47">
        <f t="shared" si="33"/>
        <v>0</v>
      </c>
      <c r="BE61" s="47">
        <f t="shared" si="33"/>
        <v>0</v>
      </c>
      <c r="BF61" s="47">
        <f t="shared" si="33"/>
        <v>0</v>
      </c>
      <c r="BG61" s="47">
        <f t="shared" si="33"/>
        <v>0</v>
      </c>
      <c r="BH61" s="47">
        <f t="shared" si="33"/>
        <v>0</v>
      </c>
      <c r="BI61" s="47">
        <f t="shared" si="33"/>
        <v>0</v>
      </c>
      <c r="BJ61" s="47">
        <f t="shared" si="33"/>
        <v>0</v>
      </c>
      <c r="BK61" s="47">
        <f t="shared" si="33"/>
        <v>0</v>
      </c>
      <c r="BL61" s="47">
        <f t="shared" si="33"/>
        <v>0</v>
      </c>
      <c r="BM61" s="47">
        <f t="shared" si="33"/>
        <v>0</v>
      </c>
      <c r="BN61" s="47">
        <f t="shared" si="33"/>
        <v>0</v>
      </c>
    </row>
    <row r="62" spans="1:66" x14ac:dyDescent="0.35">
      <c r="A62" t="s">
        <v>109</v>
      </c>
      <c r="D62" s="47">
        <f t="shared" ref="D62:BN62" si="34">D46-C46</f>
        <v>0</v>
      </c>
      <c r="E62" s="47">
        <f t="shared" si="34"/>
        <v>0</v>
      </c>
      <c r="F62" s="47">
        <f t="shared" si="34"/>
        <v>0</v>
      </c>
      <c r="G62" s="47">
        <f t="shared" si="34"/>
        <v>0</v>
      </c>
      <c r="H62" s="47">
        <f t="shared" si="34"/>
        <v>0</v>
      </c>
      <c r="I62" s="47">
        <f t="shared" si="34"/>
        <v>0</v>
      </c>
      <c r="J62" s="47">
        <f t="shared" si="34"/>
        <v>0</v>
      </c>
      <c r="K62" s="47">
        <f t="shared" si="34"/>
        <v>0</v>
      </c>
      <c r="L62" s="47">
        <f t="shared" si="34"/>
        <v>0</v>
      </c>
      <c r="M62" s="47">
        <f t="shared" si="34"/>
        <v>0</v>
      </c>
      <c r="N62" s="47">
        <f t="shared" si="34"/>
        <v>0</v>
      </c>
      <c r="O62" s="47">
        <f t="shared" si="34"/>
        <v>0</v>
      </c>
      <c r="P62" s="47">
        <f t="shared" si="34"/>
        <v>0</v>
      </c>
      <c r="Q62" s="47">
        <f t="shared" si="34"/>
        <v>0</v>
      </c>
      <c r="R62" s="47">
        <f t="shared" si="34"/>
        <v>0</v>
      </c>
      <c r="S62" s="47">
        <f t="shared" si="34"/>
        <v>0</v>
      </c>
      <c r="T62" s="47">
        <f t="shared" si="34"/>
        <v>0</v>
      </c>
      <c r="U62" s="47">
        <f t="shared" si="34"/>
        <v>0</v>
      </c>
      <c r="V62" s="47">
        <f t="shared" si="34"/>
        <v>0</v>
      </c>
      <c r="W62" s="47">
        <f t="shared" si="34"/>
        <v>0</v>
      </c>
      <c r="X62" s="47">
        <f t="shared" si="34"/>
        <v>0</v>
      </c>
      <c r="Y62" s="47">
        <f t="shared" si="34"/>
        <v>0</v>
      </c>
      <c r="Z62" s="47">
        <f t="shared" si="34"/>
        <v>0</v>
      </c>
      <c r="AA62" s="47">
        <f t="shared" si="34"/>
        <v>0</v>
      </c>
      <c r="AB62" s="47">
        <f t="shared" si="34"/>
        <v>0</v>
      </c>
      <c r="AC62" s="47">
        <f t="shared" si="34"/>
        <v>0</v>
      </c>
      <c r="AD62" s="47">
        <f t="shared" si="34"/>
        <v>0</v>
      </c>
      <c r="AE62" s="47">
        <f t="shared" si="34"/>
        <v>171.56</v>
      </c>
      <c r="AF62" s="47">
        <f t="shared" si="34"/>
        <v>0</v>
      </c>
      <c r="AG62" s="47">
        <f t="shared" si="34"/>
        <v>0</v>
      </c>
      <c r="AH62" s="47">
        <f t="shared" si="34"/>
        <v>0</v>
      </c>
      <c r="AI62" s="47">
        <f t="shared" si="34"/>
        <v>0</v>
      </c>
      <c r="AJ62" s="47">
        <f t="shared" si="34"/>
        <v>0</v>
      </c>
      <c r="AK62" s="47">
        <f t="shared" si="34"/>
        <v>0</v>
      </c>
      <c r="AL62" s="47">
        <f t="shared" si="34"/>
        <v>0</v>
      </c>
      <c r="AM62" s="47">
        <f t="shared" si="34"/>
        <v>0</v>
      </c>
      <c r="AN62" s="47">
        <f t="shared" si="34"/>
        <v>0</v>
      </c>
      <c r="AO62" s="47">
        <f t="shared" si="34"/>
        <v>0</v>
      </c>
      <c r="AP62" s="47">
        <f t="shared" si="34"/>
        <v>0</v>
      </c>
      <c r="AQ62" s="47">
        <f t="shared" si="34"/>
        <v>0</v>
      </c>
      <c r="AR62" s="47">
        <f t="shared" si="34"/>
        <v>0</v>
      </c>
      <c r="AS62" s="47">
        <f t="shared" si="34"/>
        <v>0</v>
      </c>
      <c r="AT62" s="47">
        <f t="shared" si="34"/>
        <v>0</v>
      </c>
      <c r="AU62" s="47">
        <f t="shared" si="34"/>
        <v>0</v>
      </c>
      <c r="AV62" s="47">
        <f t="shared" si="34"/>
        <v>0</v>
      </c>
      <c r="AW62" s="47">
        <f t="shared" si="34"/>
        <v>0</v>
      </c>
      <c r="AX62" s="47">
        <f t="shared" si="34"/>
        <v>0</v>
      </c>
      <c r="AY62" s="47">
        <f t="shared" si="34"/>
        <v>0</v>
      </c>
      <c r="AZ62" s="47">
        <f t="shared" si="34"/>
        <v>0</v>
      </c>
      <c r="BA62" s="47">
        <f t="shared" si="34"/>
        <v>0</v>
      </c>
      <c r="BB62" s="47">
        <f t="shared" si="34"/>
        <v>0</v>
      </c>
      <c r="BC62" s="47">
        <f t="shared" si="34"/>
        <v>0</v>
      </c>
      <c r="BD62" s="47">
        <f t="shared" si="34"/>
        <v>0</v>
      </c>
      <c r="BE62" s="47">
        <f t="shared" si="34"/>
        <v>0</v>
      </c>
      <c r="BF62" s="47">
        <f t="shared" si="34"/>
        <v>0</v>
      </c>
      <c r="BG62" s="47">
        <f t="shared" si="34"/>
        <v>0</v>
      </c>
      <c r="BH62" s="47">
        <f t="shared" si="34"/>
        <v>0</v>
      </c>
      <c r="BI62" s="47">
        <f t="shared" si="34"/>
        <v>0</v>
      </c>
      <c r="BJ62" s="47">
        <f t="shared" si="34"/>
        <v>0</v>
      </c>
      <c r="BK62" s="47">
        <f t="shared" si="34"/>
        <v>0</v>
      </c>
      <c r="BL62" s="47">
        <f t="shared" si="34"/>
        <v>0</v>
      </c>
      <c r="BM62" s="47">
        <f t="shared" si="34"/>
        <v>0</v>
      </c>
      <c r="BN62" s="47">
        <f t="shared" si="34"/>
        <v>0</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J22"/>
  <sheetViews>
    <sheetView tabSelected="1" zoomScale="70" zoomScaleNormal="70" workbookViewId="0">
      <selection activeCell="AY27" sqref="AY27"/>
    </sheetView>
  </sheetViews>
  <sheetFormatPr defaultColWidth="12.1796875" defaultRowHeight="14.5" x14ac:dyDescent="0.35"/>
  <cols>
    <col min="1" max="1" width="36.81640625" style="2" bestFit="1" customWidth="1"/>
    <col min="12" max="36" width="12.1796875" hidden="1" customWidth="1"/>
    <col min="37" max="40" width="0" hidden="1" customWidth="1"/>
  </cols>
  <sheetData>
    <row r="1" spans="1:36" ht="23.25" customHeight="1" thickBot="1" x14ac:dyDescent="0.5">
      <c r="A1" s="93" t="s">
        <v>0</v>
      </c>
      <c r="B1" s="94"/>
      <c r="C1" s="94"/>
      <c r="D1" s="94"/>
      <c r="E1" s="94"/>
      <c r="F1" s="94"/>
      <c r="G1" s="94"/>
      <c r="H1" s="94"/>
      <c r="I1" s="94"/>
      <c r="J1" s="94"/>
      <c r="K1" s="95"/>
    </row>
    <row r="2" spans="1:36" ht="16" customHeight="1" thickBot="1" x14ac:dyDescent="0.4">
      <c r="A2" s="100" t="s">
        <v>1</v>
      </c>
      <c r="B2" s="100"/>
      <c r="C2" s="100"/>
      <c r="D2" s="100"/>
      <c r="E2" s="96" t="s">
        <v>2</v>
      </c>
      <c r="F2" s="96"/>
      <c r="G2" s="96"/>
      <c r="H2" s="96"/>
      <c r="I2" s="96"/>
      <c r="J2" s="96"/>
      <c r="K2" s="96"/>
    </row>
    <row r="3" spans="1:36" ht="16" customHeight="1" thickBot="1" x14ac:dyDescent="0.4">
      <c r="A3" s="100" t="s">
        <v>3</v>
      </c>
      <c r="B3" s="100"/>
      <c r="C3" s="100"/>
      <c r="D3" s="100"/>
      <c r="E3" s="96" t="s">
        <v>4</v>
      </c>
      <c r="F3" s="96"/>
      <c r="G3" s="96"/>
      <c r="H3" s="96"/>
      <c r="I3" s="96"/>
      <c r="J3" s="96"/>
      <c r="K3" s="96"/>
    </row>
    <row r="4" spans="1:36" ht="16" customHeight="1" thickBot="1" x14ac:dyDescent="0.4">
      <c r="A4" s="100" t="s">
        <v>5</v>
      </c>
      <c r="B4" s="100"/>
      <c r="C4" s="100"/>
      <c r="D4" s="100"/>
      <c r="E4" s="97">
        <v>170.07900000000001</v>
      </c>
      <c r="F4" s="97"/>
      <c r="G4" s="97"/>
      <c r="H4" s="97"/>
      <c r="I4" s="97"/>
      <c r="J4" s="97"/>
      <c r="K4" s="97"/>
    </row>
    <row r="5" spans="1:36" ht="32.15" customHeight="1" thickBot="1" x14ac:dyDescent="0.4">
      <c r="A5" s="99" t="s">
        <v>6</v>
      </c>
      <c r="B5" s="99"/>
      <c r="C5" s="99"/>
      <c r="D5" s="99"/>
      <c r="E5" s="98">
        <v>48580</v>
      </c>
      <c r="F5" s="96"/>
      <c r="G5" s="96"/>
      <c r="H5" s="96"/>
      <c r="I5" s="96"/>
      <c r="J5" s="96"/>
      <c r="K5" s="96"/>
    </row>
    <row r="6" spans="1:36" ht="16" customHeight="1" thickBot="1" x14ac:dyDescent="0.4">
      <c r="A6" s="100" t="s">
        <v>7</v>
      </c>
      <c r="B6" s="100"/>
      <c r="C6" s="100"/>
      <c r="D6" s="100"/>
      <c r="E6" s="96" t="s">
        <v>8</v>
      </c>
      <c r="F6" s="96"/>
      <c r="G6" s="96"/>
      <c r="H6" s="96"/>
      <c r="I6" s="96"/>
      <c r="J6" s="96"/>
      <c r="K6" s="96"/>
    </row>
    <row r="7" spans="1:36" ht="31" customHeight="1" thickBot="1" x14ac:dyDescent="0.4">
      <c r="A7" s="3" t="s">
        <v>9</v>
      </c>
      <c r="B7" s="11">
        <v>48192</v>
      </c>
      <c r="C7" s="11">
        <v>50019</v>
      </c>
      <c r="D7" s="11">
        <v>52210</v>
      </c>
      <c r="E7" s="11">
        <v>54036</v>
      </c>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row>
    <row r="8" spans="1:36" ht="31" customHeight="1" thickBot="1" x14ac:dyDescent="0.4">
      <c r="A8" s="74" t="s">
        <v>10</v>
      </c>
      <c r="B8" s="75">
        <v>39.868000000000002</v>
      </c>
      <c r="C8" s="75">
        <v>70.251000000000005</v>
      </c>
      <c r="D8" s="77">
        <v>135.541</v>
      </c>
      <c r="E8" s="75">
        <v>170.07900000000001</v>
      </c>
      <c r="F8" s="75"/>
      <c r="G8" s="75"/>
      <c r="H8" s="75"/>
      <c r="I8" s="75"/>
      <c r="J8" s="75"/>
      <c r="K8" s="78"/>
      <c r="L8" s="77"/>
      <c r="M8" s="75"/>
      <c r="N8" s="75"/>
      <c r="O8" s="75"/>
      <c r="P8" s="77"/>
      <c r="Q8" s="75"/>
      <c r="R8" s="75"/>
      <c r="S8" s="75"/>
      <c r="T8" s="75"/>
      <c r="U8" s="75"/>
      <c r="V8" s="75"/>
      <c r="W8" s="75"/>
      <c r="X8" s="75"/>
      <c r="Y8" s="77"/>
      <c r="Z8" s="75"/>
      <c r="AA8" s="75"/>
      <c r="AB8" s="75"/>
      <c r="AC8" s="75"/>
      <c r="AD8" s="75"/>
      <c r="AE8" s="75"/>
      <c r="AF8" s="75"/>
      <c r="AG8" s="75"/>
      <c r="AH8" s="75"/>
      <c r="AI8" s="75"/>
      <c r="AJ8" s="75"/>
    </row>
    <row r="9" spans="1:36" ht="31" customHeight="1" thickBot="1" x14ac:dyDescent="0.4">
      <c r="A9" s="51" t="s">
        <v>11</v>
      </c>
      <c r="B9" s="52">
        <v>50019</v>
      </c>
      <c r="C9" s="52">
        <v>51845</v>
      </c>
      <c r="D9" s="52">
        <v>54036</v>
      </c>
      <c r="E9" s="52">
        <v>55497</v>
      </c>
      <c r="F9" s="52">
        <v>57324</v>
      </c>
      <c r="G9" s="52">
        <v>59150</v>
      </c>
      <c r="H9" s="52">
        <v>61341</v>
      </c>
      <c r="I9" s="52">
        <v>62802</v>
      </c>
      <c r="J9" s="52"/>
      <c r="K9" s="52"/>
      <c r="L9" s="52"/>
      <c r="M9" s="52"/>
      <c r="N9" s="52"/>
      <c r="O9" s="52"/>
      <c r="P9" s="52"/>
      <c r="Q9" s="52"/>
      <c r="R9" s="52"/>
      <c r="S9" s="52"/>
      <c r="T9" s="52"/>
      <c r="U9" s="52"/>
      <c r="V9" s="52"/>
      <c r="W9" s="52"/>
      <c r="X9" s="52"/>
      <c r="Y9" s="52"/>
      <c r="Z9" s="52"/>
      <c r="AA9" s="52"/>
      <c r="AB9" s="52"/>
      <c r="AC9" s="52"/>
      <c r="AD9" s="52"/>
      <c r="AE9" s="52"/>
      <c r="AF9" s="52"/>
      <c r="AG9" s="52"/>
      <c r="AH9" s="52"/>
      <c r="AI9" s="52"/>
      <c r="AJ9" s="52"/>
    </row>
    <row r="10" spans="1:36" ht="15" thickBot="1" x14ac:dyDescent="0.4">
      <c r="A10" s="1" t="s">
        <v>12</v>
      </c>
      <c r="B10" s="81" t="s">
        <v>13</v>
      </c>
      <c r="C10" s="82"/>
      <c r="D10" s="82"/>
      <c r="E10" s="82"/>
      <c r="F10" s="82"/>
      <c r="G10" s="82"/>
      <c r="H10" s="82"/>
      <c r="I10" s="82"/>
      <c r="J10" s="82"/>
      <c r="K10" s="83"/>
    </row>
    <row r="11" spans="1:36" ht="15" thickBot="1" x14ac:dyDescent="0.4">
      <c r="A11" s="23" t="s">
        <v>14</v>
      </c>
      <c r="B11" s="27">
        <v>39.868000000000002</v>
      </c>
      <c r="C11" s="27">
        <v>70.251000000000005</v>
      </c>
      <c r="D11" s="27">
        <v>135.541</v>
      </c>
      <c r="E11" s="27">
        <v>170.07900000000001</v>
      </c>
      <c r="F11" s="64">
        <f>Table3[[#This Row],[Column5]]</f>
        <v>170.07900000000001</v>
      </c>
      <c r="G11" s="64">
        <f>Table3[[#This Row],[Column6]]</f>
        <v>170.07900000000001</v>
      </c>
      <c r="H11" s="64">
        <f>Table3[[#This Row],[Column7]]</f>
        <v>170.07900000000001</v>
      </c>
      <c r="I11" s="64">
        <f>Table3[[#This Row],[Column8]]</f>
        <v>170.07900000000001</v>
      </c>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row>
    <row r="12" spans="1:36" ht="15" thickBot="1" x14ac:dyDescent="0.4">
      <c r="A12" s="23" t="s">
        <v>15</v>
      </c>
      <c r="B12" s="27">
        <v>39.868000000000002</v>
      </c>
      <c r="C12" s="27">
        <v>70.251000000000005</v>
      </c>
      <c r="D12" s="27">
        <v>135.541</v>
      </c>
      <c r="E12" s="27">
        <v>170.07900000000001</v>
      </c>
      <c r="F12" s="64">
        <f>Table3[[#This Row],[Column5]]</f>
        <v>170.07900000000001</v>
      </c>
      <c r="G12" s="64">
        <f>Table3[[#This Row],[Column6]]</f>
        <v>170.07900000000001</v>
      </c>
      <c r="H12" s="64">
        <f>Table3[[#This Row],[Column7]]</f>
        <v>170.07900000000001</v>
      </c>
      <c r="I12" s="64">
        <f>Table3[[#This Row],[Column8]]</f>
        <v>170.07900000000001</v>
      </c>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row>
    <row r="13" spans="1:36" ht="15" thickBot="1" x14ac:dyDescent="0.4">
      <c r="A13" s="23" t="s">
        <v>16</v>
      </c>
      <c r="B13" s="27">
        <v>39.868000000000002</v>
      </c>
      <c r="C13" s="27">
        <v>70.251000000000005</v>
      </c>
      <c r="D13" s="27">
        <v>135.541</v>
      </c>
      <c r="E13" s="27">
        <v>170.07900000000001</v>
      </c>
      <c r="F13" s="64">
        <f>Table3[[#This Row],[Column5]]</f>
        <v>170.07900000000001</v>
      </c>
      <c r="G13" s="64">
        <f>Table3[[#This Row],[Column6]]</f>
        <v>170.07900000000001</v>
      </c>
      <c r="H13" s="64">
        <f>Table3[[#This Row],[Column7]]</f>
        <v>170.07900000000001</v>
      </c>
      <c r="I13" s="64">
        <f>Table3[[#This Row],[Column8]]</f>
        <v>170.07900000000001</v>
      </c>
      <c r="J13" s="27"/>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row>
    <row r="14" spans="1:36" ht="15" thickBot="1" x14ac:dyDescent="0.4">
      <c r="A14" s="23" t="s">
        <v>17</v>
      </c>
      <c r="B14" s="27"/>
      <c r="C14" s="27"/>
      <c r="D14" s="27"/>
      <c r="E14" s="27"/>
      <c r="F14" s="27">
        <v>40</v>
      </c>
      <c r="G14" s="27">
        <v>70</v>
      </c>
      <c r="H14" s="27">
        <v>136</v>
      </c>
      <c r="I14" s="27">
        <v>170</v>
      </c>
      <c r="J14" s="27"/>
      <c r="K14" s="27"/>
      <c r="L14" s="26"/>
      <c r="M14" s="25"/>
      <c r="N14" s="28"/>
      <c r="O14" s="28"/>
      <c r="P14" s="28"/>
      <c r="Q14" s="28"/>
      <c r="R14" s="28"/>
      <c r="S14" s="28"/>
      <c r="T14" s="28"/>
      <c r="U14" s="28"/>
      <c r="V14" s="28"/>
      <c r="W14" s="28"/>
      <c r="X14" s="28"/>
      <c r="Y14" s="28"/>
      <c r="Z14" s="28"/>
      <c r="AA14" s="28"/>
      <c r="AB14" s="28"/>
      <c r="AC14" s="28"/>
      <c r="AD14" s="28"/>
      <c r="AE14" s="28"/>
      <c r="AF14" s="28"/>
      <c r="AG14" s="28"/>
      <c r="AH14" s="28"/>
      <c r="AI14" s="28"/>
      <c r="AJ14" s="28"/>
    </row>
    <row r="15" spans="1:36" ht="15" thickBot="1" x14ac:dyDescent="0.4">
      <c r="A15" s="23" t="s">
        <v>18</v>
      </c>
      <c r="B15" s="27"/>
      <c r="C15" s="27"/>
      <c r="D15" s="27"/>
      <c r="E15" s="27"/>
      <c r="F15" s="27">
        <v>40</v>
      </c>
      <c r="G15" s="27">
        <v>70</v>
      </c>
      <c r="H15" s="27">
        <v>136</v>
      </c>
      <c r="I15" s="27">
        <v>170</v>
      </c>
      <c r="J15" s="27"/>
      <c r="K15" s="27"/>
      <c r="L15" s="26"/>
      <c r="M15" s="25"/>
      <c r="N15" s="25"/>
      <c r="O15" s="25"/>
      <c r="P15" s="25"/>
      <c r="Q15" s="25"/>
      <c r="R15" s="25"/>
      <c r="S15" s="28"/>
      <c r="T15" s="28"/>
      <c r="U15" s="28"/>
      <c r="V15" s="28"/>
      <c r="W15" s="28"/>
      <c r="X15" s="28"/>
      <c r="Y15" s="28"/>
      <c r="Z15" s="28"/>
      <c r="AA15" s="28"/>
      <c r="AB15" s="28"/>
      <c r="AC15" s="28"/>
      <c r="AD15" s="28"/>
      <c r="AE15" s="28"/>
      <c r="AF15" s="28"/>
      <c r="AG15" s="28"/>
      <c r="AH15" s="28"/>
      <c r="AI15" s="28"/>
      <c r="AJ15" s="28"/>
    </row>
    <row r="16" spans="1:36" ht="15" thickBot="1" x14ac:dyDescent="0.4">
      <c r="A16" s="23" t="s">
        <v>19</v>
      </c>
      <c r="B16" s="27"/>
      <c r="C16" s="27"/>
      <c r="D16" s="27">
        <v>70</v>
      </c>
      <c r="E16" s="27">
        <v>70</v>
      </c>
      <c r="F16" s="27">
        <v>170</v>
      </c>
      <c r="G16" s="64">
        <f>Table3[[#This Row],[Column6]]</f>
        <v>170</v>
      </c>
      <c r="H16" s="64">
        <f>Table3[[#This Row],[Column7]]</f>
        <v>170</v>
      </c>
      <c r="I16" s="64">
        <f>Table3[[#This Row],[Column8]]</f>
        <v>170</v>
      </c>
      <c r="J16" s="27"/>
      <c r="K16" s="27"/>
      <c r="L16" s="24"/>
      <c r="M16" s="24"/>
      <c r="N16" s="24"/>
      <c r="O16" s="27"/>
      <c r="P16" s="27"/>
      <c r="Q16" s="27"/>
      <c r="R16" s="27"/>
      <c r="S16" s="27"/>
      <c r="T16" s="27"/>
      <c r="U16" s="27"/>
      <c r="V16" s="27"/>
      <c r="W16" s="27"/>
      <c r="X16" s="27"/>
      <c r="Y16" s="27"/>
      <c r="Z16" s="27"/>
      <c r="AA16" s="27"/>
      <c r="AB16" s="27"/>
      <c r="AC16" s="27"/>
      <c r="AD16" s="27"/>
      <c r="AE16" s="27"/>
      <c r="AF16" s="27"/>
      <c r="AG16" s="27"/>
      <c r="AH16" s="27"/>
      <c r="AI16" s="27"/>
      <c r="AJ16" s="27"/>
    </row>
    <row r="17" spans="1:11" x14ac:dyDescent="0.35">
      <c r="A17"/>
    </row>
    <row r="19" spans="1:11" x14ac:dyDescent="0.35">
      <c r="A19" s="87" t="s">
        <v>20</v>
      </c>
      <c r="B19" s="88"/>
      <c r="C19" s="88"/>
      <c r="D19" s="88"/>
      <c r="E19" s="88"/>
      <c r="F19" s="88"/>
      <c r="G19" s="88"/>
      <c r="H19" s="88"/>
      <c r="I19" s="88"/>
      <c r="J19" s="88"/>
      <c r="K19" s="89"/>
    </row>
    <row r="20" spans="1:11" x14ac:dyDescent="0.35">
      <c r="A20" s="90" t="s">
        <v>21</v>
      </c>
      <c r="B20" s="91"/>
      <c r="C20" s="91"/>
      <c r="D20" s="91"/>
      <c r="E20" s="91"/>
      <c r="F20" s="91"/>
      <c r="G20" s="91"/>
      <c r="H20" s="91"/>
      <c r="I20" s="91"/>
      <c r="J20" s="91"/>
      <c r="K20" s="92"/>
    </row>
    <row r="21" spans="1:11" x14ac:dyDescent="0.35">
      <c r="A21" s="90" t="s">
        <v>22</v>
      </c>
      <c r="B21" s="91"/>
      <c r="C21" s="91"/>
      <c r="D21" s="91"/>
      <c r="E21" s="91"/>
      <c r="F21" s="91"/>
      <c r="G21" s="91"/>
      <c r="H21" s="91"/>
      <c r="I21" s="91"/>
      <c r="J21" s="91"/>
      <c r="K21" s="92"/>
    </row>
    <row r="22" spans="1:11" ht="15" thickBot="1" x14ac:dyDescent="0.4">
      <c r="A22" s="84" t="s">
        <v>23</v>
      </c>
      <c r="B22" s="85"/>
      <c r="C22" s="85"/>
      <c r="D22" s="85"/>
      <c r="E22" s="85"/>
      <c r="F22" s="85"/>
      <c r="G22" s="85"/>
      <c r="H22" s="85"/>
      <c r="I22" s="85"/>
      <c r="J22" s="85"/>
      <c r="K22" s="86"/>
    </row>
  </sheetData>
  <mergeCells count="16">
    <mergeCell ref="A1:K1"/>
    <mergeCell ref="E3:K3"/>
    <mergeCell ref="E4:K4"/>
    <mergeCell ref="E5:K5"/>
    <mergeCell ref="E6:K6"/>
    <mergeCell ref="A5:D5"/>
    <mergeCell ref="A6:D6"/>
    <mergeCell ref="A2:D2"/>
    <mergeCell ref="E2:K2"/>
    <mergeCell ref="A3:D3"/>
    <mergeCell ref="A4:D4"/>
    <mergeCell ref="B10:K10"/>
    <mergeCell ref="A22:K22"/>
    <mergeCell ref="A19:K19"/>
    <mergeCell ref="A20:K20"/>
    <mergeCell ref="A21:K21"/>
  </mergeCells>
  <conditionalFormatting sqref="F7:AJ7">
    <cfRule type="containsText" dxfId="1625" priority="6" operator="containsText" text="10/12/xxxx">
      <formula>NOT(ISERROR(SEARCH("10/12/xxxx",F7)))</formula>
    </cfRule>
  </conditionalFormatting>
  <conditionalFormatting sqref="B9:AJ9">
    <cfRule type="containsText" dxfId="1624" priority="5" operator="containsText" text="xx/xx/xxxx">
      <formula>NOT(ISERROR(SEARCH("xx/xx/xxxx",B9)))</formula>
    </cfRule>
  </conditionalFormatting>
  <conditionalFormatting sqref="E7">
    <cfRule type="containsText" dxfId="1623" priority="1" operator="containsText" text="10/12/xxxx">
      <formula>NOT(ISERROR(SEARCH("10/12/xxxx",E7)))</formula>
    </cfRule>
  </conditionalFormatting>
  <conditionalFormatting sqref="B7">
    <cfRule type="containsText" dxfId="1622" priority="4" operator="containsText" text="10/12/xxxx">
      <formula>NOT(ISERROR(SEARCH("10/12/xxxx",B7)))</formula>
    </cfRule>
  </conditionalFormatting>
  <conditionalFormatting sqref="C7">
    <cfRule type="containsText" dxfId="1621" priority="3" operator="containsText" text="10/12/xxxx">
      <formula>NOT(ISERROR(SEARCH("10/12/xxxx",C7)))</formula>
    </cfRule>
  </conditionalFormatting>
  <conditionalFormatting sqref="D7">
    <cfRule type="containsText" dxfId="1620" priority="2" operator="containsText" text="10/12/xxxx">
      <formula>NOT(ISERROR(SEARCH("10/12/xxxx",D7)))</formula>
    </cfRule>
  </conditionalFormatting>
  <dataValidations count="4">
    <dataValidation allowBlank="1" showInputMessage="1" showErrorMessage="1" promptTitle="Insert Date" prompt="Please insert the date the area is available for rehabilitation" sqref="B7:AJ7" xr:uid="{00000000-0002-0000-0100-000001000000}"/>
    <dataValidation allowBlank="1" showInputMessage="1" showErrorMessage="1" promptTitle="Insert Date" prompt="Please insert the data the milestone is to be completed by" sqref="B9:AJ9" xr:uid="{00000000-0002-0000-0100-000002000000}"/>
    <dataValidation allowBlank="1" showInputMessage="1" showErrorMessage="1" promptTitle="Insert Area (ha)" prompt="Please insert the cumulative area available in hectares (ha)" sqref="B8:C8 F8:K8" xr:uid="{00000000-0002-0000-0100-000003000000}"/>
    <dataValidation allowBlank="1" showInputMessage="1" showErrorMessage="1" prompt="Please input the correct Rehabilitation Area number (RA#)" sqref="E2:K2" xr:uid="{00000000-0002-0000-0100-000005000000}"/>
  </dataValidations>
  <pageMargins left="0.7" right="0.7" top="0.75" bottom="0.75" header="0.3" footer="0.3"/>
  <pageSetup paperSize="9"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AEB00-8412-4CDA-8216-39C0924340B9}">
  <dimension ref="A1:AN24"/>
  <sheetViews>
    <sheetView zoomScale="70" zoomScaleNormal="70" workbookViewId="0">
      <selection activeCell="H36" sqref="H36"/>
    </sheetView>
  </sheetViews>
  <sheetFormatPr defaultColWidth="12.1796875" defaultRowHeight="14.5" x14ac:dyDescent="0.35"/>
  <cols>
    <col min="1" max="1" width="36.81640625" style="2" bestFit="1" customWidth="1"/>
    <col min="19" max="40" width="12.1796875" hidden="1" customWidth="1"/>
    <col min="41" max="43" width="12.1796875" customWidth="1"/>
  </cols>
  <sheetData>
    <row r="1" spans="1:40" ht="23.25" customHeight="1" thickBot="1" x14ac:dyDescent="0.5">
      <c r="A1" s="93" t="s">
        <v>0</v>
      </c>
      <c r="B1" s="94"/>
      <c r="C1" s="94"/>
      <c r="D1" s="94"/>
      <c r="E1" s="94"/>
      <c r="F1" s="94"/>
      <c r="G1" s="94"/>
      <c r="H1" s="94"/>
      <c r="I1" s="94"/>
      <c r="J1" s="94"/>
      <c r="K1" s="95"/>
    </row>
    <row r="2" spans="1:40" ht="16" customHeight="1" thickBot="1" x14ac:dyDescent="0.4">
      <c r="A2" s="100" t="s">
        <v>1</v>
      </c>
      <c r="B2" s="100"/>
      <c r="C2" s="100"/>
      <c r="D2" s="100"/>
      <c r="E2" s="96" t="s">
        <v>24</v>
      </c>
      <c r="F2" s="96"/>
      <c r="G2" s="96"/>
      <c r="H2" s="96"/>
      <c r="I2" s="96"/>
      <c r="J2" s="96"/>
      <c r="K2" s="96"/>
    </row>
    <row r="3" spans="1:40" ht="16" customHeight="1" thickBot="1" x14ac:dyDescent="0.4">
      <c r="A3" s="100" t="s">
        <v>3</v>
      </c>
      <c r="B3" s="100"/>
      <c r="C3" s="100"/>
      <c r="D3" s="100"/>
      <c r="E3" s="96" t="s">
        <v>25</v>
      </c>
      <c r="F3" s="96"/>
      <c r="G3" s="96"/>
      <c r="H3" s="96"/>
      <c r="I3" s="96"/>
      <c r="J3" s="96"/>
      <c r="K3" s="96"/>
    </row>
    <row r="4" spans="1:40" ht="16" customHeight="1" thickBot="1" x14ac:dyDescent="0.4">
      <c r="A4" s="100" t="s">
        <v>5</v>
      </c>
      <c r="B4" s="100"/>
      <c r="C4" s="100"/>
      <c r="D4" s="100"/>
      <c r="E4" s="97">
        <v>804.83100000000002</v>
      </c>
      <c r="F4" s="97"/>
      <c r="G4" s="97"/>
      <c r="H4" s="97"/>
      <c r="I4" s="97"/>
      <c r="J4" s="97"/>
      <c r="K4" s="97"/>
    </row>
    <row r="5" spans="1:40" ht="32.15" customHeight="1" thickBot="1" x14ac:dyDescent="0.4">
      <c r="A5" s="99" t="s">
        <v>6</v>
      </c>
      <c r="B5" s="99"/>
      <c r="C5" s="99"/>
      <c r="D5" s="99"/>
      <c r="E5" s="98">
        <v>47484</v>
      </c>
      <c r="F5" s="96"/>
      <c r="G5" s="96"/>
      <c r="H5" s="96"/>
      <c r="I5" s="96"/>
      <c r="J5" s="96"/>
      <c r="K5" s="96"/>
    </row>
    <row r="6" spans="1:40" ht="16" customHeight="1" thickBot="1" x14ac:dyDescent="0.4">
      <c r="A6" s="100" t="s">
        <v>7</v>
      </c>
      <c r="B6" s="100"/>
      <c r="C6" s="100"/>
      <c r="D6" s="100"/>
      <c r="E6" s="96" t="s">
        <v>8</v>
      </c>
      <c r="F6" s="96"/>
      <c r="G6" s="96"/>
      <c r="H6" s="96"/>
      <c r="I6" s="96"/>
      <c r="J6" s="96"/>
      <c r="K6" s="96"/>
    </row>
    <row r="7" spans="1:40" ht="31" customHeight="1" thickBot="1" x14ac:dyDescent="0.4">
      <c r="A7" s="3" t="s">
        <v>9</v>
      </c>
      <c r="B7" s="11">
        <v>47097</v>
      </c>
      <c r="C7" s="11">
        <v>47462</v>
      </c>
      <c r="D7" s="11">
        <v>47827</v>
      </c>
      <c r="E7" s="11">
        <v>48192</v>
      </c>
      <c r="F7" s="11">
        <v>48558</v>
      </c>
      <c r="G7" s="11">
        <v>48923</v>
      </c>
      <c r="H7" s="11">
        <v>49288</v>
      </c>
      <c r="I7" s="11">
        <v>49653</v>
      </c>
      <c r="J7" s="11">
        <v>50384</v>
      </c>
      <c r="K7" s="11">
        <v>50749</v>
      </c>
      <c r="L7" s="11">
        <v>51480</v>
      </c>
      <c r="M7" s="11">
        <v>52575</v>
      </c>
      <c r="N7" s="11">
        <v>54767</v>
      </c>
      <c r="O7" s="11">
        <v>55132</v>
      </c>
      <c r="P7" s="11">
        <v>55497</v>
      </c>
      <c r="Q7" s="11"/>
      <c r="R7" s="11"/>
      <c r="S7" s="11"/>
      <c r="T7" s="11"/>
      <c r="U7" s="11"/>
      <c r="V7" s="11"/>
      <c r="W7" s="11"/>
      <c r="X7" s="11"/>
      <c r="Y7" s="11"/>
      <c r="Z7" s="11"/>
      <c r="AA7" s="11"/>
      <c r="AB7" s="11"/>
      <c r="AC7" s="11"/>
      <c r="AD7" s="11"/>
      <c r="AE7" s="11"/>
      <c r="AF7" s="11"/>
      <c r="AG7" s="11"/>
      <c r="AH7" s="11"/>
      <c r="AI7" s="11"/>
      <c r="AJ7" s="11"/>
      <c r="AK7" s="11"/>
      <c r="AL7" s="11"/>
      <c r="AM7" s="11"/>
      <c r="AN7" s="11"/>
    </row>
    <row r="8" spans="1:40" ht="31" customHeight="1" thickBot="1" x14ac:dyDescent="0.4">
      <c r="A8" s="74" t="s">
        <v>10</v>
      </c>
      <c r="B8" s="75">
        <v>33.869</v>
      </c>
      <c r="C8" s="75">
        <v>78.697000000000003</v>
      </c>
      <c r="D8" s="77">
        <v>129.40700000000001</v>
      </c>
      <c r="E8" s="75">
        <v>191.45100000000002</v>
      </c>
      <c r="F8" s="75">
        <v>350.34800000000001</v>
      </c>
      <c r="G8" s="75">
        <v>426.11099999999999</v>
      </c>
      <c r="H8" s="75">
        <v>440.45099999999996</v>
      </c>
      <c r="I8" s="75">
        <v>475.63699999999994</v>
      </c>
      <c r="J8" s="75">
        <v>498.40899999999993</v>
      </c>
      <c r="K8" s="78">
        <v>518.7109999999999</v>
      </c>
      <c r="L8" s="78">
        <v>542.95899999999995</v>
      </c>
      <c r="M8" s="75">
        <v>578.23199999999997</v>
      </c>
      <c r="N8" s="75">
        <v>719.57299999999998</v>
      </c>
      <c r="O8" s="77">
        <v>752.26599999999996</v>
      </c>
      <c r="P8" s="75">
        <v>804.92399999999998</v>
      </c>
      <c r="Q8" s="75"/>
      <c r="R8" s="75"/>
      <c r="S8" s="53"/>
      <c r="T8" s="53"/>
      <c r="U8" s="53"/>
      <c r="V8" s="55"/>
      <c r="W8" s="55"/>
      <c r="X8" s="53"/>
      <c r="Y8" s="53"/>
      <c r="Z8" s="54"/>
      <c r="AA8" s="53"/>
      <c r="AB8" s="53"/>
      <c r="AC8" s="53"/>
      <c r="AD8" s="53"/>
      <c r="AE8" s="53"/>
      <c r="AF8" s="53"/>
      <c r="AG8" s="19"/>
      <c r="AH8" s="19"/>
      <c r="AI8" s="19"/>
      <c r="AJ8" s="19"/>
      <c r="AK8" s="19"/>
      <c r="AL8" s="19"/>
      <c r="AM8" s="19"/>
      <c r="AN8" s="19"/>
    </row>
    <row r="9" spans="1:40" ht="31" customHeight="1" thickBot="1" x14ac:dyDescent="0.4">
      <c r="A9" s="51" t="s">
        <v>11</v>
      </c>
      <c r="B9" s="52">
        <v>48923</v>
      </c>
      <c r="C9" s="52">
        <v>49288</v>
      </c>
      <c r="D9" s="52">
        <v>49653</v>
      </c>
      <c r="E9" s="52">
        <v>50019</v>
      </c>
      <c r="F9" s="52">
        <v>50384</v>
      </c>
      <c r="G9" s="52">
        <v>50749</v>
      </c>
      <c r="H9" s="52">
        <v>51114</v>
      </c>
      <c r="I9" s="52">
        <v>51480</v>
      </c>
      <c r="J9" s="52">
        <v>52210</v>
      </c>
      <c r="K9" s="52">
        <v>52575</v>
      </c>
      <c r="L9" s="52">
        <v>53306</v>
      </c>
      <c r="M9" s="52">
        <v>54402</v>
      </c>
      <c r="N9" s="52">
        <v>56593</v>
      </c>
      <c r="O9" s="52">
        <v>56958</v>
      </c>
      <c r="P9" s="52">
        <v>57324</v>
      </c>
      <c r="Q9" s="52">
        <v>60611</v>
      </c>
      <c r="R9" s="52">
        <v>64629</v>
      </c>
      <c r="S9" s="12"/>
      <c r="T9" s="12"/>
      <c r="U9" s="12"/>
      <c r="V9" s="12"/>
      <c r="W9" s="12"/>
      <c r="X9" s="12"/>
      <c r="Y9" s="12"/>
      <c r="Z9" s="12"/>
      <c r="AA9" s="12"/>
      <c r="AB9" s="12"/>
      <c r="AC9" s="12"/>
      <c r="AD9" s="12"/>
      <c r="AE9" s="12"/>
      <c r="AF9" s="12"/>
      <c r="AG9" s="12"/>
      <c r="AH9" s="12"/>
      <c r="AI9" s="12"/>
      <c r="AJ9" s="12"/>
      <c r="AK9" s="12"/>
      <c r="AL9" s="12"/>
      <c r="AM9" s="12"/>
      <c r="AN9" s="12"/>
    </row>
    <row r="10" spans="1:40" ht="15" thickBot="1" x14ac:dyDescent="0.4">
      <c r="A10" s="1" t="s">
        <v>12</v>
      </c>
      <c r="B10" s="81" t="s">
        <v>13</v>
      </c>
      <c r="C10" s="82"/>
      <c r="D10" s="82"/>
      <c r="E10" s="82"/>
      <c r="F10" s="82"/>
      <c r="G10" s="82"/>
      <c r="H10" s="82"/>
      <c r="I10" s="82"/>
      <c r="J10" s="82"/>
      <c r="K10" s="83"/>
    </row>
    <row r="11" spans="1:40" ht="15" thickBot="1" x14ac:dyDescent="0.4">
      <c r="A11" s="23" t="s">
        <v>14</v>
      </c>
      <c r="B11" s="27">
        <v>33.869</v>
      </c>
      <c r="C11" s="27">
        <v>78.697000000000003</v>
      </c>
      <c r="D11" s="27">
        <v>129.40700000000001</v>
      </c>
      <c r="E11" s="27">
        <v>191.45100000000002</v>
      </c>
      <c r="F11" s="27">
        <v>350.34800000000001</v>
      </c>
      <c r="G11" s="27">
        <v>426.11099999999999</v>
      </c>
      <c r="H11" s="27">
        <v>440.45099999999996</v>
      </c>
      <c r="I11" s="27">
        <v>475.63699999999994</v>
      </c>
      <c r="J11" s="27">
        <v>498.40899999999993</v>
      </c>
      <c r="K11" s="27">
        <v>518.7109999999999</v>
      </c>
      <c r="L11" s="27">
        <v>542.95899999999995</v>
      </c>
      <c r="M11" s="27">
        <v>578.23199999999997</v>
      </c>
      <c r="N11" s="27">
        <v>719.57299999999998</v>
      </c>
      <c r="O11" s="27">
        <v>752.26599999999996</v>
      </c>
      <c r="P11" s="27">
        <v>804.83100000000002</v>
      </c>
      <c r="Q11" s="64">
        <f>Table326[[#This Row],[Column16]]</f>
        <v>804.83100000000002</v>
      </c>
      <c r="R11" s="64">
        <f>Table326[[#This Row],[Column17]]</f>
        <v>804.83100000000002</v>
      </c>
      <c r="S11" s="27"/>
      <c r="T11" s="27"/>
      <c r="U11" s="27"/>
      <c r="V11" s="27"/>
      <c r="W11" s="27"/>
      <c r="X11" s="27"/>
      <c r="Y11" s="27"/>
      <c r="Z11" s="27"/>
      <c r="AA11" s="27"/>
      <c r="AB11" s="27"/>
      <c r="AC11" s="27"/>
      <c r="AD11" s="27"/>
      <c r="AE11" s="27"/>
      <c r="AF11" s="27"/>
      <c r="AG11" s="27"/>
      <c r="AH11" s="27"/>
      <c r="AI11" s="27"/>
      <c r="AJ11" s="27"/>
      <c r="AK11" s="27"/>
      <c r="AL11" s="27"/>
      <c r="AM11" s="27"/>
      <c r="AN11" s="27"/>
    </row>
    <row r="12" spans="1:40" ht="15" thickBot="1" x14ac:dyDescent="0.4">
      <c r="A12" s="23" t="s">
        <v>15</v>
      </c>
      <c r="B12" s="28">
        <v>33.869</v>
      </c>
      <c r="C12" s="28">
        <v>78.697000000000003</v>
      </c>
      <c r="D12" s="28">
        <v>129.40700000000001</v>
      </c>
      <c r="E12" s="28">
        <v>191.45100000000002</v>
      </c>
      <c r="F12" s="28">
        <v>350.34800000000001</v>
      </c>
      <c r="G12" s="28">
        <v>426.11099999999999</v>
      </c>
      <c r="H12" s="28">
        <v>440.45099999999996</v>
      </c>
      <c r="I12" s="28">
        <v>475.63699999999994</v>
      </c>
      <c r="J12" s="28">
        <v>498.40899999999993</v>
      </c>
      <c r="K12" s="28">
        <v>518.7109999999999</v>
      </c>
      <c r="L12" s="28">
        <v>542.95899999999995</v>
      </c>
      <c r="M12" s="28">
        <v>578.23199999999997</v>
      </c>
      <c r="N12" s="28">
        <v>719.57299999999998</v>
      </c>
      <c r="O12" s="28">
        <v>752.26599999999996</v>
      </c>
      <c r="P12" s="27">
        <v>804.83100000000002</v>
      </c>
      <c r="Q12" s="64">
        <f>Table326[[#This Row],[Column16]]</f>
        <v>804.83100000000002</v>
      </c>
      <c r="R12" s="64">
        <f>Table326[[#This Row],[Column17]]</f>
        <v>804.83100000000002</v>
      </c>
      <c r="S12" s="28"/>
      <c r="T12" s="28"/>
      <c r="U12" s="28"/>
      <c r="V12" s="28"/>
      <c r="W12" s="28"/>
      <c r="X12" s="27"/>
      <c r="Y12" s="27"/>
      <c r="Z12" s="27"/>
      <c r="AA12" s="27"/>
      <c r="AB12" s="27"/>
      <c r="AC12" s="27"/>
      <c r="AD12" s="27"/>
      <c r="AE12" s="27"/>
      <c r="AF12" s="27"/>
      <c r="AG12" s="28"/>
      <c r="AH12" s="28"/>
      <c r="AI12" s="28"/>
      <c r="AJ12" s="28"/>
      <c r="AK12" s="28"/>
      <c r="AL12" s="28"/>
      <c r="AM12" s="28"/>
      <c r="AN12" s="28"/>
    </row>
    <row r="13" spans="1:40" ht="15" thickBot="1" x14ac:dyDescent="0.4">
      <c r="A13" s="23" t="s">
        <v>16</v>
      </c>
      <c r="B13" s="28">
        <v>33.869</v>
      </c>
      <c r="C13" s="28">
        <v>78.697000000000003</v>
      </c>
      <c r="D13" s="28">
        <v>129.40700000000001</v>
      </c>
      <c r="E13" s="28">
        <v>191.45100000000002</v>
      </c>
      <c r="F13" s="28">
        <v>350.34800000000001</v>
      </c>
      <c r="G13" s="28">
        <v>426.11099999999999</v>
      </c>
      <c r="H13" s="28">
        <v>440.45099999999996</v>
      </c>
      <c r="I13" s="28">
        <v>475.63699999999994</v>
      </c>
      <c r="J13" s="28">
        <v>498.40899999999993</v>
      </c>
      <c r="K13" s="28">
        <v>518.7109999999999</v>
      </c>
      <c r="L13" s="28">
        <v>542.95899999999995</v>
      </c>
      <c r="M13" s="28">
        <v>578.23199999999997</v>
      </c>
      <c r="N13" s="28">
        <v>719.57299999999998</v>
      </c>
      <c r="O13" s="28">
        <v>752.26599999999996</v>
      </c>
      <c r="P13" s="27">
        <v>804.83100000000002</v>
      </c>
      <c r="Q13" s="64">
        <f>Table326[[#This Row],[Column16]]</f>
        <v>804.83100000000002</v>
      </c>
      <c r="R13" s="64">
        <f>Table326[[#This Row],[Column17]]</f>
        <v>804.83100000000002</v>
      </c>
      <c r="S13" s="28"/>
      <c r="T13" s="28"/>
      <c r="U13" s="28"/>
      <c r="V13" s="28"/>
      <c r="W13" s="28"/>
      <c r="X13" s="27"/>
      <c r="Y13" s="27"/>
      <c r="Z13" s="27"/>
      <c r="AA13" s="27"/>
      <c r="AB13" s="27"/>
      <c r="AC13" s="27"/>
      <c r="AD13" s="27"/>
      <c r="AE13" s="27"/>
      <c r="AF13" s="27"/>
      <c r="AG13" s="28"/>
      <c r="AH13" s="28"/>
      <c r="AI13" s="28"/>
      <c r="AJ13" s="28"/>
      <c r="AK13" s="28"/>
      <c r="AL13" s="28"/>
      <c r="AM13" s="28"/>
      <c r="AN13" s="28"/>
    </row>
    <row r="14" spans="1:40" ht="15" thickBot="1" x14ac:dyDescent="0.4">
      <c r="A14" s="23" t="s">
        <v>17</v>
      </c>
      <c r="B14" s="25"/>
      <c r="C14" s="25"/>
      <c r="D14" s="25"/>
      <c r="E14" s="25"/>
      <c r="F14" s="25"/>
      <c r="G14" s="27"/>
      <c r="H14" s="27"/>
      <c r="I14" s="27"/>
      <c r="J14" s="27"/>
      <c r="K14" s="27"/>
      <c r="L14" s="27"/>
      <c r="M14" s="27"/>
      <c r="N14" s="27"/>
      <c r="O14" s="27"/>
      <c r="P14" s="27"/>
      <c r="Q14" s="27">
        <v>543</v>
      </c>
      <c r="R14" s="27">
        <v>805</v>
      </c>
      <c r="S14" s="27"/>
      <c r="T14" s="27"/>
      <c r="U14" s="27"/>
      <c r="V14" s="27"/>
      <c r="W14" s="27"/>
      <c r="X14" s="27"/>
      <c r="Y14" s="27"/>
      <c r="Z14" s="27"/>
      <c r="AA14" s="27"/>
      <c r="AB14" s="27"/>
      <c r="AC14" s="27"/>
      <c r="AD14" s="27"/>
      <c r="AE14" s="27"/>
      <c r="AF14" s="27"/>
      <c r="AG14" s="27"/>
      <c r="AH14" s="27"/>
      <c r="AI14" s="27"/>
      <c r="AJ14" s="27"/>
      <c r="AK14" s="27"/>
      <c r="AL14" s="27"/>
      <c r="AM14" s="27"/>
      <c r="AN14" s="27"/>
    </row>
    <row r="15" spans="1:40" ht="15" thickBot="1" x14ac:dyDescent="0.4">
      <c r="A15" s="23" t="s">
        <v>18</v>
      </c>
      <c r="B15" s="25"/>
      <c r="C15" s="25"/>
      <c r="D15" s="25"/>
      <c r="E15" s="25"/>
      <c r="F15" s="25"/>
      <c r="G15" s="25"/>
      <c r="H15" s="25"/>
      <c r="I15" s="25"/>
      <c r="J15" s="25"/>
      <c r="K15" s="24"/>
      <c r="L15" s="28"/>
      <c r="M15" s="28"/>
      <c r="N15" s="28"/>
      <c r="O15" s="28"/>
      <c r="P15" s="28"/>
      <c r="Q15" s="28">
        <v>543</v>
      </c>
      <c r="R15" s="28">
        <v>805</v>
      </c>
      <c r="S15" s="28"/>
      <c r="T15" s="28"/>
      <c r="U15" s="28"/>
      <c r="V15" s="28"/>
      <c r="W15" s="28"/>
      <c r="X15" s="28"/>
      <c r="Y15" s="28"/>
      <c r="Z15" s="28"/>
      <c r="AA15" s="28"/>
      <c r="AB15" s="28"/>
      <c r="AC15" s="28"/>
      <c r="AD15" s="28"/>
      <c r="AE15" s="28"/>
      <c r="AF15" s="27"/>
      <c r="AG15" s="28"/>
      <c r="AH15" s="28"/>
      <c r="AI15" s="28"/>
      <c r="AJ15" s="28"/>
      <c r="AK15" s="28"/>
      <c r="AL15" s="28"/>
      <c r="AM15" s="28"/>
      <c r="AN15" s="28"/>
    </row>
    <row r="16" spans="1:40" ht="15" thickBot="1" x14ac:dyDescent="0.4">
      <c r="A16" s="23" t="s">
        <v>19</v>
      </c>
      <c r="B16" s="24"/>
      <c r="C16" s="24"/>
      <c r="D16" s="24"/>
      <c r="E16" s="24"/>
      <c r="F16" s="24"/>
      <c r="G16" s="24"/>
      <c r="H16" s="24"/>
      <c r="I16" s="24"/>
      <c r="J16" s="24"/>
      <c r="K16" s="24"/>
      <c r="L16" s="24">
        <v>543</v>
      </c>
      <c r="M16" s="24">
        <v>543</v>
      </c>
      <c r="N16" s="24">
        <v>543</v>
      </c>
      <c r="O16" s="24">
        <v>543</v>
      </c>
      <c r="P16" s="24">
        <v>805</v>
      </c>
      <c r="Q16" s="65">
        <f>P16</f>
        <v>805</v>
      </c>
      <c r="R16" s="65">
        <f>Q16</f>
        <v>805</v>
      </c>
      <c r="S16" s="24"/>
      <c r="T16" s="24"/>
      <c r="U16" s="24"/>
      <c r="V16" s="24"/>
      <c r="W16" s="24"/>
      <c r="X16" s="24"/>
      <c r="Y16" s="27"/>
      <c r="Z16" s="27"/>
      <c r="AA16" s="27"/>
      <c r="AB16" s="27"/>
      <c r="AC16" s="27"/>
      <c r="AD16" s="27"/>
      <c r="AE16" s="27"/>
      <c r="AF16" s="27"/>
      <c r="AG16" s="27"/>
      <c r="AH16" s="27"/>
      <c r="AI16" s="27"/>
      <c r="AJ16" s="27"/>
      <c r="AK16" s="27"/>
      <c r="AL16" s="27"/>
      <c r="AM16" s="27"/>
      <c r="AN16" s="27"/>
    </row>
    <row r="17" spans="1:18" x14ac:dyDescent="0.35">
      <c r="A17"/>
    </row>
    <row r="18" spans="1:18" ht="15" thickBot="1" x14ac:dyDescent="0.4"/>
    <row r="19" spans="1:18" x14ac:dyDescent="0.35">
      <c r="A19" s="87" t="s">
        <v>20</v>
      </c>
      <c r="B19" s="88"/>
      <c r="C19" s="88"/>
      <c r="D19" s="88"/>
      <c r="E19" s="88"/>
      <c r="F19" s="88"/>
      <c r="G19" s="88"/>
      <c r="H19" s="88"/>
      <c r="I19" s="88"/>
      <c r="J19" s="88"/>
      <c r="K19" s="89"/>
    </row>
    <row r="20" spans="1:18" x14ac:dyDescent="0.35">
      <c r="A20" s="90" t="s">
        <v>21</v>
      </c>
      <c r="B20" s="91"/>
      <c r="C20" s="91"/>
      <c r="D20" s="91"/>
      <c r="E20" s="91"/>
      <c r="F20" s="91"/>
      <c r="G20" s="91"/>
      <c r="H20" s="91"/>
      <c r="I20" s="91"/>
      <c r="J20" s="91"/>
      <c r="K20" s="92"/>
    </row>
    <row r="21" spans="1:18" x14ac:dyDescent="0.35">
      <c r="A21" s="90" t="s">
        <v>22</v>
      </c>
      <c r="B21" s="91"/>
      <c r="C21" s="91"/>
      <c r="D21" s="91"/>
      <c r="E21" s="91"/>
      <c r="F21" s="91"/>
      <c r="G21" s="91"/>
      <c r="H21" s="91"/>
      <c r="I21" s="91"/>
      <c r="J21" s="91"/>
      <c r="K21" s="92"/>
    </row>
    <row r="22" spans="1:18" ht="15" thickBot="1" x14ac:dyDescent="0.4">
      <c r="A22" s="84" t="s">
        <v>23</v>
      </c>
      <c r="B22" s="85"/>
      <c r="C22" s="85"/>
      <c r="D22" s="85"/>
      <c r="E22" s="85"/>
      <c r="F22" s="85"/>
      <c r="G22" s="85"/>
      <c r="H22" s="85"/>
      <c r="I22" s="85"/>
      <c r="J22" s="85"/>
      <c r="K22" s="86"/>
    </row>
    <row r="24" spans="1:18" hidden="1" x14ac:dyDescent="0.35">
      <c r="B24">
        <f t="shared" ref="B24:R24" si="0">IF(SUM(B8,B11:B18)=SUM(A8,A11:A18),0,1)</f>
        <v>1</v>
      </c>
      <c r="C24">
        <f t="shared" si="0"/>
        <v>1</v>
      </c>
      <c r="D24">
        <f t="shared" si="0"/>
        <v>1</v>
      </c>
      <c r="E24">
        <f t="shared" si="0"/>
        <v>1</v>
      </c>
      <c r="F24">
        <f t="shared" si="0"/>
        <v>1</v>
      </c>
      <c r="G24">
        <f t="shared" si="0"/>
        <v>1</v>
      </c>
      <c r="H24">
        <f t="shared" si="0"/>
        <v>1</v>
      </c>
      <c r="I24">
        <f t="shared" si="0"/>
        <v>1</v>
      </c>
      <c r="J24">
        <f t="shared" si="0"/>
        <v>1</v>
      </c>
      <c r="K24">
        <f t="shared" si="0"/>
        <v>1</v>
      </c>
      <c r="L24">
        <f t="shared" si="0"/>
        <v>1</v>
      </c>
      <c r="M24">
        <f t="shared" si="0"/>
        <v>1</v>
      </c>
      <c r="N24">
        <f t="shared" si="0"/>
        <v>1</v>
      </c>
      <c r="O24">
        <f t="shared" si="0"/>
        <v>1</v>
      </c>
      <c r="P24">
        <f t="shared" si="0"/>
        <v>1</v>
      </c>
      <c r="Q24">
        <f t="shared" si="0"/>
        <v>1</v>
      </c>
      <c r="R24">
        <f t="shared" si="0"/>
        <v>1</v>
      </c>
    </row>
  </sheetData>
  <mergeCells count="16">
    <mergeCell ref="A4:D4"/>
    <mergeCell ref="E4:K4"/>
    <mergeCell ref="A1:K1"/>
    <mergeCell ref="A2:D2"/>
    <mergeCell ref="E2:K2"/>
    <mergeCell ref="A3:D3"/>
    <mergeCell ref="E3:K3"/>
    <mergeCell ref="A20:K20"/>
    <mergeCell ref="A21:K21"/>
    <mergeCell ref="A22:K22"/>
    <mergeCell ref="A5:D5"/>
    <mergeCell ref="E5:K5"/>
    <mergeCell ref="A6:D6"/>
    <mergeCell ref="E6:K6"/>
    <mergeCell ref="B10:K10"/>
    <mergeCell ref="A19:K19"/>
  </mergeCells>
  <conditionalFormatting sqref="B7:K7 Q7:AN7">
    <cfRule type="containsText" dxfId="1497" priority="6" operator="containsText" text="10/12/xxxx">
      <formula>NOT(ISERROR(SEARCH("10/12/xxxx",B7)))</formula>
    </cfRule>
  </conditionalFormatting>
  <conditionalFormatting sqref="B9:AN9">
    <cfRule type="containsText" dxfId="1496" priority="5" operator="containsText" text="xx/xx/xxxx">
      <formula>NOT(ISERROR(SEARCH("xx/xx/xxxx",B9)))</formula>
    </cfRule>
  </conditionalFormatting>
  <conditionalFormatting sqref="L7">
    <cfRule type="containsText" dxfId="1495" priority="4" operator="containsText" text="10/12/xxxx">
      <formula>NOT(ISERROR(SEARCH("10/12/xxxx",L7)))</formula>
    </cfRule>
  </conditionalFormatting>
  <conditionalFormatting sqref="M7">
    <cfRule type="containsText" dxfId="1494" priority="3" operator="containsText" text="10/12/xxxx">
      <formula>NOT(ISERROR(SEARCH("10/12/xxxx",M7)))</formula>
    </cfRule>
  </conditionalFormatting>
  <conditionalFormatting sqref="N7:O7">
    <cfRule type="containsText" dxfId="1493" priority="2" operator="containsText" text="10/12/xxxx">
      <formula>NOT(ISERROR(SEARCH("10/12/xxxx",N7)))</formula>
    </cfRule>
  </conditionalFormatting>
  <conditionalFormatting sqref="P7">
    <cfRule type="containsText" dxfId="1492" priority="1" operator="containsText" text="10/12/xxxx">
      <formula>NOT(ISERROR(SEARCH("10/12/xxxx",P7)))</formula>
    </cfRule>
  </conditionalFormatting>
  <dataValidations count="4">
    <dataValidation allowBlank="1" showInputMessage="1" showErrorMessage="1" prompt="Please input the correct Rehabilitation Area number (RA#)" sqref="E2:K2" xr:uid="{E15BB6FA-801E-4C71-B84C-3958C2A34F6B}"/>
    <dataValidation allowBlank="1" showInputMessage="1" showErrorMessage="1" promptTitle="Insert Area (ha)" prompt="Please insert the cumulative area available in hectares (ha)" sqref="B8:J8" xr:uid="{2031BBAF-BA0B-4572-AC35-5A608DFAC8DE}"/>
    <dataValidation allowBlank="1" showInputMessage="1" showErrorMessage="1" promptTitle="Insert Date" prompt="Please insert the data the milestone is to be completed by" sqref="B9:AN9" xr:uid="{2CF68BBD-E2A6-4C16-8623-A0091AFA4573}"/>
    <dataValidation allowBlank="1" showInputMessage="1" showErrorMessage="1" promptTitle="Insert Date" prompt="Please insert the date the area is available for rehabilitation" sqref="B7:AN7" xr:uid="{FC3838EB-541F-4E77-8EAE-2899F7FB3040}"/>
  </dataValidations>
  <pageMargins left="0.7" right="0.7" top="0.75" bottom="0.75" header="0.3" footer="0.3"/>
  <pageSetup paperSize="9" orientation="portrait"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64480-D254-4AAC-BF6C-A399FD878A18}">
  <dimension ref="A1:AL25"/>
  <sheetViews>
    <sheetView zoomScale="70" zoomScaleNormal="70" workbookViewId="0">
      <selection activeCell="E36" sqref="E36"/>
    </sheetView>
  </sheetViews>
  <sheetFormatPr defaultColWidth="12.1796875" defaultRowHeight="14.5" x14ac:dyDescent="0.35"/>
  <cols>
    <col min="1" max="1" width="36.81640625" style="2" bestFit="1" customWidth="1"/>
    <col min="12" max="38" width="12.1796875" hidden="1" customWidth="1"/>
    <col min="39" max="40" width="0" hidden="1" customWidth="1"/>
  </cols>
  <sheetData>
    <row r="1" spans="1:37" ht="23.25" customHeight="1" thickBot="1" x14ac:dyDescent="0.5">
      <c r="A1" s="93" t="s">
        <v>0</v>
      </c>
      <c r="B1" s="94"/>
      <c r="C1" s="94"/>
      <c r="D1" s="94"/>
      <c r="E1" s="94"/>
      <c r="F1" s="94"/>
      <c r="G1" s="94"/>
      <c r="H1" s="94"/>
      <c r="I1" s="94"/>
      <c r="J1" s="94"/>
      <c r="K1" s="95"/>
    </row>
    <row r="2" spans="1:37" ht="16" customHeight="1" thickBot="1" x14ac:dyDescent="0.4">
      <c r="A2" s="100" t="s">
        <v>1</v>
      </c>
      <c r="B2" s="100"/>
      <c r="C2" s="100"/>
      <c r="D2" s="100"/>
      <c r="E2" s="96" t="s">
        <v>26</v>
      </c>
      <c r="F2" s="96"/>
      <c r="G2" s="96"/>
      <c r="H2" s="96"/>
      <c r="I2" s="96"/>
      <c r="J2" s="96"/>
      <c r="K2" s="96"/>
    </row>
    <row r="3" spans="1:37" ht="16" customHeight="1" thickBot="1" x14ac:dyDescent="0.4">
      <c r="A3" s="100" t="s">
        <v>3</v>
      </c>
      <c r="B3" s="100"/>
      <c r="C3" s="100"/>
      <c r="D3" s="100"/>
      <c r="E3" s="96" t="s">
        <v>27</v>
      </c>
      <c r="F3" s="96"/>
      <c r="G3" s="96"/>
      <c r="H3" s="96"/>
      <c r="I3" s="96"/>
      <c r="J3" s="96"/>
      <c r="K3" s="96"/>
    </row>
    <row r="4" spans="1:37" ht="16" customHeight="1" thickBot="1" x14ac:dyDescent="0.4">
      <c r="A4" s="100" t="s">
        <v>5</v>
      </c>
      <c r="B4" s="100"/>
      <c r="C4" s="100"/>
      <c r="D4" s="100"/>
      <c r="E4" s="97">
        <v>291.10000000000002</v>
      </c>
      <c r="F4" s="97"/>
      <c r="G4" s="97"/>
      <c r="H4" s="97"/>
      <c r="I4" s="97"/>
      <c r="J4" s="97"/>
      <c r="K4" s="97"/>
    </row>
    <row r="5" spans="1:37" ht="32.15" customHeight="1" thickBot="1" x14ac:dyDescent="0.4">
      <c r="A5" s="99" t="s">
        <v>6</v>
      </c>
      <c r="B5" s="99"/>
      <c r="C5" s="99"/>
      <c r="D5" s="99"/>
      <c r="E5" s="98">
        <v>48580</v>
      </c>
      <c r="F5" s="96"/>
      <c r="G5" s="96"/>
      <c r="H5" s="96"/>
      <c r="I5" s="96"/>
      <c r="J5" s="96"/>
      <c r="K5" s="96"/>
    </row>
    <row r="6" spans="1:37" ht="16" customHeight="1" thickBot="1" x14ac:dyDescent="0.4">
      <c r="A6" s="100" t="s">
        <v>7</v>
      </c>
      <c r="B6" s="100"/>
      <c r="C6" s="100"/>
      <c r="D6" s="100"/>
      <c r="E6" s="96" t="s">
        <v>8</v>
      </c>
      <c r="F6" s="96"/>
      <c r="G6" s="96"/>
      <c r="H6" s="96"/>
      <c r="I6" s="96"/>
      <c r="J6" s="96"/>
      <c r="K6" s="96"/>
    </row>
    <row r="7" spans="1:37" ht="31" customHeight="1" thickBot="1" x14ac:dyDescent="0.4">
      <c r="A7" s="3" t="s">
        <v>9</v>
      </c>
      <c r="B7" s="11">
        <v>48192</v>
      </c>
      <c r="C7" s="11">
        <v>48558</v>
      </c>
      <c r="D7" s="11">
        <v>49288</v>
      </c>
      <c r="E7" s="11">
        <v>49653</v>
      </c>
      <c r="F7" s="11">
        <v>50019</v>
      </c>
      <c r="G7" s="11">
        <v>51845</v>
      </c>
      <c r="H7" s="11">
        <v>54767</v>
      </c>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row>
    <row r="8" spans="1:37" ht="31" customHeight="1" thickBot="1" x14ac:dyDescent="0.4">
      <c r="A8" s="74" t="s">
        <v>10</v>
      </c>
      <c r="B8" s="75">
        <v>10.119999999999999</v>
      </c>
      <c r="C8" s="75">
        <v>43.061</v>
      </c>
      <c r="D8" s="75">
        <v>63.195</v>
      </c>
      <c r="E8" s="75">
        <v>85.528999999999996</v>
      </c>
      <c r="F8" s="75">
        <v>112.102</v>
      </c>
      <c r="G8" s="75">
        <v>146.72</v>
      </c>
      <c r="H8" s="75">
        <v>291.10000000000002</v>
      </c>
      <c r="I8" s="75"/>
      <c r="J8" s="75"/>
      <c r="K8" s="78"/>
      <c r="L8" s="77"/>
      <c r="M8" s="75"/>
      <c r="N8" s="75"/>
      <c r="O8" s="75"/>
      <c r="P8" s="77"/>
      <c r="Q8" s="75"/>
      <c r="R8" s="75"/>
      <c r="S8" s="75"/>
      <c r="T8" s="75"/>
      <c r="U8" s="75"/>
      <c r="V8" s="75"/>
      <c r="W8" s="75"/>
      <c r="X8" s="75"/>
      <c r="Y8" s="77"/>
      <c r="Z8" s="75"/>
      <c r="AA8" s="75"/>
      <c r="AB8" s="75"/>
      <c r="AC8" s="75"/>
      <c r="AD8" s="75"/>
      <c r="AE8" s="75"/>
      <c r="AF8" s="75"/>
      <c r="AG8" s="75"/>
      <c r="AH8" s="75"/>
      <c r="AI8" s="75"/>
      <c r="AJ8" s="75"/>
      <c r="AK8" s="75"/>
    </row>
    <row r="9" spans="1:37" ht="31" customHeight="1" thickBot="1" x14ac:dyDescent="0.4">
      <c r="A9" s="51" t="s">
        <v>11</v>
      </c>
      <c r="B9" s="52">
        <v>50019</v>
      </c>
      <c r="C9" s="52">
        <v>50384</v>
      </c>
      <c r="D9" s="52">
        <v>51114</v>
      </c>
      <c r="E9" s="52">
        <v>51480</v>
      </c>
      <c r="F9" s="52">
        <v>51845</v>
      </c>
      <c r="G9" s="52">
        <v>53671</v>
      </c>
      <c r="H9" s="52">
        <v>56593</v>
      </c>
      <c r="I9" s="52">
        <v>57324</v>
      </c>
      <c r="J9" s="52">
        <v>59150</v>
      </c>
      <c r="K9" s="52">
        <v>63898</v>
      </c>
      <c r="L9" s="52"/>
      <c r="M9" s="52"/>
      <c r="N9" s="52"/>
      <c r="O9" s="52"/>
      <c r="P9" s="52"/>
      <c r="Q9" s="52"/>
      <c r="R9" s="52"/>
      <c r="S9" s="52"/>
      <c r="T9" s="52"/>
      <c r="U9" s="52"/>
      <c r="V9" s="52"/>
      <c r="W9" s="52"/>
      <c r="X9" s="52"/>
      <c r="Y9" s="52"/>
      <c r="Z9" s="52"/>
      <c r="AA9" s="52"/>
      <c r="AB9" s="52"/>
      <c r="AC9" s="52"/>
      <c r="AD9" s="52"/>
      <c r="AE9" s="52"/>
      <c r="AF9" s="52"/>
      <c r="AG9" s="52"/>
      <c r="AH9" s="52"/>
      <c r="AI9" s="52"/>
      <c r="AJ9" s="52"/>
      <c r="AK9" s="52"/>
    </row>
    <row r="10" spans="1:37" ht="15" thickBot="1" x14ac:dyDescent="0.4">
      <c r="A10" s="1" t="s">
        <v>12</v>
      </c>
      <c r="B10" s="81" t="s">
        <v>13</v>
      </c>
      <c r="C10" s="82"/>
      <c r="D10" s="82"/>
      <c r="E10" s="82"/>
      <c r="F10" s="82"/>
      <c r="G10" s="82"/>
      <c r="H10" s="82"/>
      <c r="I10" s="82"/>
      <c r="J10" s="82"/>
      <c r="K10" s="83"/>
    </row>
    <row r="11" spans="1:37" ht="15" thickBot="1" x14ac:dyDescent="0.4">
      <c r="A11" s="23" t="s">
        <v>14</v>
      </c>
      <c r="B11" s="30">
        <v>10.119999999999999</v>
      </c>
      <c r="C11" s="30">
        <v>43.061</v>
      </c>
      <c r="D11" s="30">
        <v>63.195</v>
      </c>
      <c r="E11" s="30">
        <v>85.528999999999996</v>
      </c>
      <c r="F11" s="30">
        <v>112.102</v>
      </c>
      <c r="G11" s="30">
        <v>146.72</v>
      </c>
      <c r="H11" s="39">
        <v>291.10000000000002</v>
      </c>
      <c r="I11" s="66">
        <f>Table357[[#All],[Column8]]</f>
        <v>291.10000000000002</v>
      </c>
      <c r="J11" s="66">
        <f>Table357[[#All],[Column9]]</f>
        <v>291.10000000000002</v>
      </c>
      <c r="K11" s="66">
        <f>Table357[[#All],[Column10]]</f>
        <v>291.10000000000002</v>
      </c>
      <c r="L11" s="30"/>
      <c r="M11" s="30"/>
      <c r="N11" s="30"/>
      <c r="O11" s="39"/>
      <c r="P11" s="39"/>
      <c r="Q11" s="39"/>
      <c r="R11" s="39"/>
      <c r="S11" s="30"/>
      <c r="T11" s="30"/>
      <c r="U11" s="30"/>
      <c r="V11" s="30"/>
      <c r="W11" s="30"/>
      <c r="X11" s="30"/>
      <c r="Y11" s="39"/>
      <c r="Z11" s="39"/>
      <c r="AA11" s="39"/>
      <c r="AB11" s="39"/>
      <c r="AC11" s="39"/>
      <c r="AD11" s="39"/>
      <c r="AE11" s="39"/>
      <c r="AF11" s="39"/>
      <c r="AG11" s="39"/>
      <c r="AH11" s="39"/>
      <c r="AI11" s="39"/>
      <c r="AJ11" s="39"/>
      <c r="AK11" s="39"/>
    </row>
    <row r="12" spans="1:37" ht="15" thickBot="1" x14ac:dyDescent="0.4">
      <c r="A12" s="23" t="s">
        <v>15</v>
      </c>
      <c r="B12" s="30">
        <v>10.119999999999999</v>
      </c>
      <c r="C12" s="30">
        <v>43.061</v>
      </c>
      <c r="D12" s="30">
        <v>63.195</v>
      </c>
      <c r="E12" s="30">
        <v>85.528999999999996</v>
      </c>
      <c r="F12" s="30">
        <v>112.102</v>
      </c>
      <c r="G12" s="30">
        <v>146.72</v>
      </c>
      <c r="H12" s="39">
        <v>291.10000000000002</v>
      </c>
      <c r="I12" s="66">
        <f>Table357[[#All],[Column8]]</f>
        <v>291.10000000000002</v>
      </c>
      <c r="J12" s="66">
        <f>Table357[[#All],[Column9]]</f>
        <v>291.10000000000002</v>
      </c>
      <c r="K12" s="66">
        <f>Table357[[#All],[Column10]]</f>
        <v>291.10000000000002</v>
      </c>
      <c r="L12" s="30"/>
      <c r="M12" s="30"/>
      <c r="N12" s="30"/>
      <c r="O12" s="39"/>
      <c r="P12" s="39"/>
      <c r="Q12" s="39"/>
      <c r="R12" s="39"/>
      <c r="S12" s="30"/>
      <c r="T12" s="30"/>
      <c r="U12" s="30"/>
      <c r="V12" s="30"/>
      <c r="W12" s="30"/>
      <c r="X12" s="30"/>
      <c r="Y12" s="30"/>
      <c r="Z12" s="30"/>
      <c r="AA12" s="30"/>
      <c r="AB12" s="30"/>
      <c r="AC12" s="30"/>
      <c r="AD12" s="30"/>
      <c r="AE12" s="30"/>
      <c r="AF12" s="30"/>
      <c r="AG12" s="30"/>
      <c r="AH12" s="30"/>
      <c r="AI12" s="30"/>
      <c r="AJ12" s="30"/>
      <c r="AK12" s="30"/>
    </row>
    <row r="13" spans="1:37" ht="15" thickBot="1" x14ac:dyDescent="0.4">
      <c r="A13" s="23" t="s">
        <v>16</v>
      </c>
      <c r="B13" s="30">
        <v>10.119999999999999</v>
      </c>
      <c r="C13" s="30">
        <v>43.061</v>
      </c>
      <c r="D13" s="30">
        <v>63.195</v>
      </c>
      <c r="E13" s="30">
        <v>85.528999999999996</v>
      </c>
      <c r="F13" s="30">
        <v>112.102</v>
      </c>
      <c r="G13" s="30">
        <v>146.72</v>
      </c>
      <c r="H13" s="39">
        <v>291.10000000000002</v>
      </c>
      <c r="I13" s="66">
        <f>Table357[[#All],[Column8]]</f>
        <v>291.10000000000002</v>
      </c>
      <c r="J13" s="66">
        <f>Table357[[#All],[Column9]]</f>
        <v>291.10000000000002</v>
      </c>
      <c r="K13" s="66">
        <f>Table357[[#All],[Column10]]</f>
        <v>291.10000000000002</v>
      </c>
      <c r="L13" s="30"/>
      <c r="M13" s="30"/>
      <c r="N13" s="30"/>
      <c r="O13" s="39"/>
      <c r="P13" s="39"/>
      <c r="Q13" s="39"/>
      <c r="R13" s="39"/>
      <c r="S13" s="30"/>
      <c r="T13" s="30"/>
      <c r="U13" s="30"/>
      <c r="V13" s="30"/>
      <c r="W13" s="30"/>
      <c r="X13" s="30"/>
      <c r="Y13" s="30"/>
      <c r="Z13" s="30"/>
      <c r="AA13" s="30"/>
      <c r="AB13" s="30"/>
      <c r="AC13" s="30"/>
      <c r="AD13" s="30"/>
      <c r="AE13" s="30"/>
      <c r="AF13" s="30"/>
      <c r="AG13" s="30"/>
      <c r="AH13" s="30"/>
      <c r="AI13" s="30"/>
      <c r="AJ13" s="30"/>
      <c r="AK13" s="30"/>
    </row>
    <row r="14" spans="1:37" ht="15" thickBot="1" x14ac:dyDescent="0.4">
      <c r="A14" s="23" t="s">
        <v>17</v>
      </c>
      <c r="B14" s="13"/>
      <c r="C14" s="13"/>
      <c r="D14" s="13"/>
      <c r="E14" s="13"/>
      <c r="F14" s="30"/>
      <c r="G14" s="30"/>
      <c r="H14" s="30"/>
      <c r="I14" s="30"/>
      <c r="J14" s="30">
        <v>112</v>
      </c>
      <c r="K14" s="30">
        <v>291.10000000000002</v>
      </c>
      <c r="L14" s="30"/>
      <c r="M14" s="30"/>
      <c r="N14" s="30"/>
      <c r="O14" s="30"/>
      <c r="P14" s="30"/>
      <c r="Q14" s="39"/>
      <c r="R14" s="39"/>
      <c r="S14" s="30"/>
      <c r="T14" s="30"/>
      <c r="U14" s="30"/>
      <c r="V14" s="30"/>
      <c r="W14" s="30"/>
      <c r="X14" s="30"/>
      <c r="Y14" s="30"/>
      <c r="Z14" s="30"/>
      <c r="AA14" s="30"/>
      <c r="AB14" s="30"/>
      <c r="AC14" s="30"/>
      <c r="AD14" s="30"/>
      <c r="AE14" s="30"/>
      <c r="AF14" s="30"/>
      <c r="AG14" s="30"/>
      <c r="AH14" s="30"/>
      <c r="AI14" s="30"/>
      <c r="AJ14" s="30"/>
      <c r="AK14" s="30"/>
    </row>
    <row r="15" spans="1:37" ht="15" thickBot="1" x14ac:dyDescent="0.4">
      <c r="A15" s="23" t="s">
        <v>18</v>
      </c>
      <c r="B15" s="15"/>
      <c r="C15" s="15"/>
      <c r="D15" s="15"/>
      <c r="E15" s="15"/>
      <c r="F15" s="15"/>
      <c r="G15" s="15"/>
      <c r="H15" s="15"/>
      <c r="I15" s="15"/>
      <c r="J15" s="15">
        <v>112</v>
      </c>
      <c r="K15" s="32">
        <v>291.10000000000002</v>
      </c>
      <c r="L15" s="32"/>
      <c r="M15" s="32"/>
      <c r="N15" s="32"/>
      <c r="O15" s="30"/>
      <c r="P15" s="30"/>
      <c r="Q15" s="30"/>
      <c r="R15" s="39"/>
      <c r="S15" s="32"/>
      <c r="T15" s="32"/>
      <c r="U15" s="32"/>
      <c r="V15" s="32"/>
      <c r="W15" s="32"/>
      <c r="X15" s="32"/>
      <c r="Y15" s="30"/>
      <c r="Z15" s="30"/>
      <c r="AA15" s="30"/>
      <c r="AB15" s="30"/>
      <c r="AC15" s="30"/>
      <c r="AD15" s="30"/>
      <c r="AE15" s="30"/>
      <c r="AF15" s="30"/>
      <c r="AG15" s="30"/>
      <c r="AH15" s="30"/>
      <c r="AI15" s="30"/>
      <c r="AJ15" s="30"/>
      <c r="AK15" s="30"/>
    </row>
    <row r="16" spans="1:37" ht="15" thickBot="1" x14ac:dyDescent="0.4">
      <c r="A16" s="23" t="s">
        <v>19</v>
      </c>
      <c r="B16" s="13"/>
      <c r="C16" s="13"/>
      <c r="D16" s="13"/>
      <c r="E16" s="13"/>
      <c r="F16" s="13"/>
      <c r="G16" s="13">
        <v>112</v>
      </c>
      <c r="H16" s="13">
        <v>112</v>
      </c>
      <c r="I16" s="13">
        <v>291</v>
      </c>
      <c r="J16" s="67">
        <f>Table357[[#This Row],[Column9]]</f>
        <v>291</v>
      </c>
      <c r="K16" s="67">
        <f>Table357[[#This Row],[Column10]]</f>
        <v>291</v>
      </c>
      <c r="L16" s="13"/>
      <c r="M16" s="13"/>
      <c r="N16" s="13"/>
      <c r="O16" s="13"/>
      <c r="P16" s="32"/>
      <c r="Q16" s="32"/>
      <c r="R16" s="39"/>
      <c r="S16" s="13"/>
      <c r="T16" s="13"/>
      <c r="U16" s="13"/>
      <c r="V16" s="13"/>
      <c r="W16" s="13"/>
      <c r="X16" s="13"/>
      <c r="Y16" s="15"/>
      <c r="Z16" s="15"/>
      <c r="AA16" s="15"/>
      <c r="AB16" s="15"/>
      <c r="AC16" s="32"/>
      <c r="AD16" s="32"/>
      <c r="AE16" s="32"/>
      <c r="AF16" s="32"/>
      <c r="AG16" s="32"/>
      <c r="AH16" s="32"/>
      <c r="AI16" s="32"/>
      <c r="AJ16" s="32"/>
      <c r="AK16" s="32"/>
    </row>
    <row r="17" spans="1:37" x14ac:dyDescent="0.35">
      <c r="A17" s="58"/>
      <c r="B17" s="59"/>
      <c r="C17" s="59"/>
      <c r="D17" s="59"/>
      <c r="E17" s="59"/>
      <c r="F17" s="59"/>
      <c r="G17" s="59"/>
      <c r="H17" s="59"/>
      <c r="I17" s="59"/>
      <c r="J17" s="59"/>
      <c r="K17" s="59"/>
      <c r="L17" s="59"/>
      <c r="M17" s="59"/>
      <c r="N17" s="59"/>
      <c r="O17" s="59"/>
      <c r="P17" s="60"/>
      <c r="Q17" s="60"/>
      <c r="R17" s="60"/>
      <c r="S17" s="59"/>
      <c r="T17" s="59"/>
      <c r="U17" s="59"/>
      <c r="V17" s="59"/>
      <c r="W17" s="59"/>
      <c r="X17" s="59"/>
      <c r="Y17" s="59"/>
      <c r="Z17" s="59"/>
      <c r="AA17" s="59"/>
      <c r="AB17" s="59"/>
      <c r="AC17" s="60"/>
      <c r="AD17" s="60"/>
      <c r="AE17" s="60"/>
      <c r="AF17" s="60"/>
      <c r="AG17" s="60"/>
      <c r="AH17" s="60"/>
      <c r="AI17" s="60"/>
      <c r="AJ17" s="60"/>
      <c r="AK17" s="60"/>
    </row>
    <row r="18" spans="1:37" ht="15" thickBot="1" x14ac:dyDescent="0.4"/>
    <row r="19" spans="1:37" x14ac:dyDescent="0.35">
      <c r="A19" s="87" t="s">
        <v>20</v>
      </c>
      <c r="B19" s="88"/>
      <c r="C19" s="88"/>
      <c r="D19" s="88"/>
      <c r="E19" s="88"/>
      <c r="F19" s="88"/>
      <c r="G19" s="88"/>
      <c r="H19" s="88"/>
      <c r="I19" s="88"/>
      <c r="J19" s="88"/>
      <c r="K19" s="89"/>
    </row>
    <row r="20" spans="1:37" x14ac:dyDescent="0.35">
      <c r="A20" s="90" t="s">
        <v>21</v>
      </c>
      <c r="B20" s="91"/>
      <c r="C20" s="91"/>
      <c r="D20" s="91"/>
      <c r="E20" s="91"/>
      <c r="F20" s="91"/>
      <c r="G20" s="91"/>
      <c r="H20" s="91"/>
      <c r="I20" s="91"/>
      <c r="J20" s="91"/>
      <c r="K20" s="92"/>
    </row>
    <row r="21" spans="1:37" x14ac:dyDescent="0.35">
      <c r="A21" s="90" t="s">
        <v>22</v>
      </c>
      <c r="B21" s="91"/>
      <c r="C21" s="91"/>
      <c r="D21" s="91"/>
      <c r="E21" s="91"/>
      <c r="F21" s="91"/>
      <c r="G21" s="91"/>
      <c r="H21" s="91"/>
      <c r="I21" s="91"/>
      <c r="J21" s="91"/>
      <c r="K21" s="92"/>
    </row>
    <row r="22" spans="1:37" ht="15" thickBot="1" x14ac:dyDescent="0.4">
      <c r="A22" s="84" t="s">
        <v>23</v>
      </c>
      <c r="B22" s="85"/>
      <c r="C22" s="85"/>
      <c r="D22" s="85"/>
      <c r="E22" s="85"/>
      <c r="F22" s="85"/>
      <c r="G22" s="85"/>
      <c r="H22" s="85"/>
      <c r="I22" s="85"/>
      <c r="J22" s="85"/>
      <c r="K22" s="86"/>
    </row>
    <row r="25" spans="1:37" hidden="1" x14ac:dyDescent="0.35">
      <c r="B25">
        <f>IF(SUM(B8,B11:B19)=SUM(A8,A11:A19),0,1)</f>
        <v>1</v>
      </c>
      <c r="C25">
        <f t="shared" ref="C25:K25" si="0">IF(SUM(C8,C11:C19)=SUM(B8,B11:B19),0,1)</f>
        <v>1</v>
      </c>
      <c r="D25">
        <f t="shared" si="0"/>
        <v>1</v>
      </c>
      <c r="E25">
        <f t="shared" si="0"/>
        <v>1</v>
      </c>
      <c r="F25">
        <f t="shared" si="0"/>
        <v>1</v>
      </c>
      <c r="G25">
        <f t="shared" si="0"/>
        <v>1</v>
      </c>
      <c r="H25">
        <f t="shared" si="0"/>
        <v>1</v>
      </c>
      <c r="I25">
        <f t="shared" si="0"/>
        <v>1</v>
      </c>
      <c r="J25">
        <f t="shared" si="0"/>
        <v>1</v>
      </c>
      <c r="K25">
        <f t="shared" si="0"/>
        <v>1</v>
      </c>
    </row>
  </sheetData>
  <mergeCells count="16">
    <mergeCell ref="A4:D4"/>
    <mergeCell ref="E4:K4"/>
    <mergeCell ref="A1:K1"/>
    <mergeCell ref="A2:D2"/>
    <mergeCell ref="E2:K2"/>
    <mergeCell ref="A3:D3"/>
    <mergeCell ref="E3:K3"/>
    <mergeCell ref="A20:K20"/>
    <mergeCell ref="A21:K21"/>
    <mergeCell ref="A22:K22"/>
    <mergeCell ref="A5:D5"/>
    <mergeCell ref="E5:K5"/>
    <mergeCell ref="A6:D6"/>
    <mergeCell ref="E6:K6"/>
    <mergeCell ref="B10:K10"/>
    <mergeCell ref="A19:K19"/>
  </mergeCells>
  <conditionalFormatting sqref="I7:AK7">
    <cfRule type="containsText" dxfId="1353" priority="6" operator="containsText" text="10/12/xxxx">
      <formula>NOT(ISERROR(SEARCH("10/12/xxxx",I7)))</formula>
    </cfRule>
  </conditionalFormatting>
  <conditionalFormatting sqref="B9:AK9">
    <cfRule type="containsText" dxfId="1352" priority="5" operator="containsText" text="xx/xx/xxxx">
      <formula>NOT(ISERROR(SEARCH("xx/xx/xxxx",B9)))</formula>
    </cfRule>
  </conditionalFormatting>
  <conditionalFormatting sqref="B7:C7">
    <cfRule type="containsText" dxfId="1351" priority="4" operator="containsText" text="10/12/xxxx">
      <formula>NOT(ISERROR(SEARCH("10/12/xxxx",B7)))</formula>
    </cfRule>
  </conditionalFormatting>
  <conditionalFormatting sqref="D7:F7">
    <cfRule type="containsText" dxfId="1350" priority="3" operator="containsText" text="10/12/xxxx">
      <formula>NOT(ISERROR(SEARCH("10/12/xxxx",D7)))</formula>
    </cfRule>
  </conditionalFormatting>
  <conditionalFormatting sqref="G7">
    <cfRule type="containsText" dxfId="1349" priority="2" operator="containsText" text="10/12/xxxx">
      <formula>NOT(ISERROR(SEARCH("10/12/xxxx",G7)))</formula>
    </cfRule>
  </conditionalFormatting>
  <conditionalFormatting sqref="H7">
    <cfRule type="containsText" dxfId="1348" priority="1" operator="containsText" text="10/12/xxxx">
      <formula>NOT(ISERROR(SEARCH("10/12/xxxx",H7)))</formula>
    </cfRule>
  </conditionalFormatting>
  <dataValidations count="5">
    <dataValidation allowBlank="1" showInputMessage="1" showErrorMessage="1" promptTitle="Insert Date" prompt="Please insert the date the area is available for rehabilitation" sqref="B7:AK7" xr:uid="{4417CACD-4323-4243-90AC-584485707D40}"/>
    <dataValidation allowBlank="1" showInputMessage="1" showErrorMessage="1" promptTitle="Insert Date" prompt="Please insert the data the milestone is to be completed by" sqref="B9:AK9" xr:uid="{CCE71F68-B459-441C-A7FF-6BC86B14C3D7}"/>
    <dataValidation allowBlank="1" showInputMessage="1" showErrorMessage="1" promptTitle="Insert Area (ha)" prompt="Please insert the cumulative area available in hectares (ha)" sqref="B8:F8 I8:K8" xr:uid="{0A7EFDEF-A757-43AA-B6F8-84D8017D738C}"/>
    <dataValidation allowBlank="1" showInputMessage="1" showErrorMessage="1" promptTitle="Insert Area (ha)" prompt="Please insert the cumulative area achieved in hectares (ha) as required" sqref="D11:AK13 B11:C17 D15:G17 R15:R17 Q14:R14 H16:K17" xr:uid="{9B2D77BD-1AAC-4E00-B6C6-28F4BCF866CF}"/>
    <dataValidation allowBlank="1" showInputMessage="1" showErrorMessage="1" prompt="Please input the correct Rehabilitation Area number (RA#)" sqref="E2:K2" xr:uid="{3020CE8F-F18F-410A-A30D-F83FE3168AAE}"/>
  </dataValidations>
  <pageMargins left="0.7" right="0.7" top="0.75" bottom="0.75" header="0.3" footer="0.3"/>
  <pageSetup paperSize="9"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EDD6D-A710-466F-811F-3287954AC284}">
  <dimension ref="A1:AM26"/>
  <sheetViews>
    <sheetView zoomScale="70" zoomScaleNormal="70" workbookViewId="0">
      <pane xSplit="11" topLeftCell="X1" activePane="topRight" state="frozen"/>
      <selection pane="topRight" activeCell="A2" sqref="A2:K16"/>
    </sheetView>
  </sheetViews>
  <sheetFormatPr defaultColWidth="12.1796875" defaultRowHeight="14.5" x14ac:dyDescent="0.35"/>
  <cols>
    <col min="1" max="1" width="36.81640625" style="2" bestFit="1" customWidth="1"/>
    <col min="12" max="39" width="12.1796875" hidden="1" customWidth="1"/>
    <col min="40" max="40" width="0" hidden="1" customWidth="1"/>
  </cols>
  <sheetData>
    <row r="1" spans="1:39" ht="23.25" customHeight="1" thickBot="1" x14ac:dyDescent="0.5">
      <c r="A1" s="93" t="s">
        <v>0</v>
      </c>
      <c r="B1" s="94"/>
      <c r="C1" s="94"/>
      <c r="D1" s="94"/>
      <c r="E1" s="94"/>
      <c r="F1" s="94"/>
      <c r="G1" s="94"/>
      <c r="H1" s="94"/>
      <c r="I1" s="94"/>
      <c r="J1" s="94"/>
      <c r="K1" s="95"/>
    </row>
    <row r="2" spans="1:39" ht="16" customHeight="1" thickBot="1" x14ac:dyDescent="0.4">
      <c r="A2" s="111" t="s">
        <v>1</v>
      </c>
      <c r="B2" s="111"/>
      <c r="C2" s="111"/>
      <c r="D2" s="111"/>
      <c r="E2" s="112" t="s">
        <v>28</v>
      </c>
      <c r="F2" s="112"/>
      <c r="G2" s="112"/>
      <c r="H2" s="112"/>
      <c r="I2" s="112"/>
      <c r="J2" s="112"/>
      <c r="K2" s="112"/>
    </row>
    <row r="3" spans="1:39" ht="16" customHeight="1" thickBot="1" x14ac:dyDescent="0.4">
      <c r="A3" s="111" t="s">
        <v>3</v>
      </c>
      <c r="B3" s="111"/>
      <c r="C3" s="111"/>
      <c r="D3" s="111"/>
      <c r="E3" s="112" t="s">
        <v>29</v>
      </c>
      <c r="F3" s="112"/>
      <c r="G3" s="112"/>
      <c r="H3" s="112"/>
      <c r="I3" s="112"/>
      <c r="J3" s="112"/>
      <c r="K3" s="112"/>
    </row>
    <row r="4" spans="1:39" ht="16" customHeight="1" thickBot="1" x14ac:dyDescent="0.4">
      <c r="A4" s="111" t="s">
        <v>5</v>
      </c>
      <c r="B4" s="111"/>
      <c r="C4" s="111"/>
      <c r="D4" s="111"/>
      <c r="E4" s="113">
        <v>227.9</v>
      </c>
      <c r="F4" s="113"/>
      <c r="G4" s="113"/>
      <c r="H4" s="113"/>
      <c r="I4" s="113"/>
      <c r="J4" s="113"/>
      <c r="K4" s="113"/>
    </row>
    <row r="5" spans="1:39" ht="32.15" customHeight="1" thickBot="1" x14ac:dyDescent="0.4">
      <c r="A5" s="114" t="s">
        <v>6</v>
      </c>
      <c r="B5" s="114"/>
      <c r="C5" s="114"/>
      <c r="D5" s="114"/>
      <c r="E5" s="115">
        <v>54789</v>
      </c>
      <c r="F5" s="112"/>
      <c r="G5" s="112"/>
      <c r="H5" s="112"/>
      <c r="I5" s="112"/>
      <c r="J5" s="112"/>
      <c r="K5" s="112"/>
    </row>
    <row r="6" spans="1:39" ht="16" customHeight="1" thickBot="1" x14ac:dyDescent="0.4">
      <c r="A6" s="111" t="s">
        <v>7</v>
      </c>
      <c r="B6" s="111"/>
      <c r="C6" s="111"/>
      <c r="D6" s="111"/>
      <c r="E6" s="112" t="s">
        <v>30</v>
      </c>
      <c r="F6" s="112"/>
      <c r="G6" s="112"/>
      <c r="H6" s="112"/>
      <c r="I6" s="112"/>
      <c r="J6" s="112"/>
      <c r="K6" s="112"/>
    </row>
    <row r="7" spans="1:39" ht="31" customHeight="1" thickBot="1" x14ac:dyDescent="0.4">
      <c r="A7" s="116" t="s">
        <v>9</v>
      </c>
      <c r="B7" s="117">
        <v>54767</v>
      </c>
      <c r="C7" s="117">
        <v>55497</v>
      </c>
      <c r="D7" s="117">
        <v>55863</v>
      </c>
      <c r="E7" s="117"/>
      <c r="F7" s="117"/>
      <c r="G7" s="117"/>
      <c r="H7" s="117"/>
      <c r="I7" s="117"/>
      <c r="J7" s="117"/>
      <c r="K7" s="117"/>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row>
    <row r="8" spans="1:39" ht="31" customHeight="1" thickBot="1" x14ac:dyDescent="0.4">
      <c r="A8" s="118" t="s">
        <v>10</v>
      </c>
      <c r="B8" s="119">
        <v>24.1</v>
      </c>
      <c r="C8" s="119">
        <v>135.30000000000001</v>
      </c>
      <c r="D8" s="119">
        <v>227.8</v>
      </c>
      <c r="E8" s="119"/>
      <c r="F8" s="119"/>
      <c r="G8" s="119"/>
      <c r="H8" s="119"/>
      <c r="I8" s="119"/>
      <c r="J8" s="119"/>
      <c r="K8" s="119"/>
      <c r="L8" s="18"/>
      <c r="M8" s="19"/>
      <c r="N8" s="19"/>
      <c r="O8" s="19"/>
      <c r="P8" s="18"/>
      <c r="Q8" s="19"/>
      <c r="R8" s="19"/>
      <c r="S8" s="19"/>
      <c r="T8" s="19"/>
      <c r="U8" s="19"/>
      <c r="V8" s="19"/>
      <c r="W8" s="19"/>
      <c r="X8" s="19"/>
      <c r="Y8" s="19"/>
      <c r="Z8" s="19"/>
      <c r="AA8" s="19"/>
      <c r="AB8" s="19"/>
      <c r="AC8" s="19"/>
      <c r="AD8" s="19"/>
      <c r="AE8" s="19"/>
      <c r="AF8" s="19"/>
      <c r="AG8" s="19"/>
      <c r="AH8" s="19"/>
      <c r="AI8" s="19"/>
      <c r="AJ8" s="19"/>
      <c r="AK8" s="19"/>
      <c r="AL8" s="19"/>
      <c r="AM8" s="19"/>
    </row>
    <row r="9" spans="1:39" ht="22.5" customHeight="1" thickBot="1" x14ac:dyDescent="0.4">
      <c r="A9" s="120" t="s">
        <v>11</v>
      </c>
      <c r="B9" s="121">
        <v>56593</v>
      </c>
      <c r="C9" s="121">
        <v>56958</v>
      </c>
      <c r="D9" s="121">
        <v>57689</v>
      </c>
      <c r="E9" s="121">
        <v>60246</v>
      </c>
      <c r="F9" s="121">
        <v>60611</v>
      </c>
      <c r="G9" s="121">
        <v>61341</v>
      </c>
      <c r="H9" s="121"/>
      <c r="I9" s="121"/>
      <c r="J9" s="121"/>
      <c r="K9" s="121"/>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row>
    <row r="10" spans="1:39" ht="15" thickBot="1" x14ac:dyDescent="0.4">
      <c r="A10" s="122" t="s">
        <v>12</v>
      </c>
      <c r="B10" s="123" t="s">
        <v>13</v>
      </c>
      <c r="C10" s="124"/>
      <c r="D10" s="124"/>
      <c r="E10" s="124"/>
      <c r="F10" s="124"/>
      <c r="G10" s="124"/>
      <c r="H10" s="124"/>
      <c r="I10" s="124"/>
      <c r="J10" s="124"/>
      <c r="K10" s="125"/>
    </row>
    <row r="11" spans="1:39" ht="15" thickBot="1" x14ac:dyDescent="0.4">
      <c r="A11" s="126" t="s">
        <v>31</v>
      </c>
      <c r="B11" s="127">
        <v>24.1</v>
      </c>
      <c r="C11" s="127">
        <v>135.30000000000001</v>
      </c>
      <c r="D11" s="127">
        <v>227.9</v>
      </c>
      <c r="E11" s="128"/>
      <c r="F11" s="129"/>
      <c r="G11" s="129"/>
      <c r="H11" s="129"/>
      <c r="I11" s="128"/>
      <c r="J11" s="128"/>
      <c r="K11" s="130"/>
      <c r="L11" s="13"/>
      <c r="M11" s="13"/>
      <c r="N11" s="13"/>
      <c r="O11" s="13"/>
      <c r="P11" s="13"/>
      <c r="Q11" s="13"/>
      <c r="R11" s="13"/>
      <c r="S11" s="13"/>
      <c r="T11" s="13"/>
      <c r="U11" s="13"/>
      <c r="V11" s="13"/>
      <c r="W11" s="13"/>
      <c r="X11" s="13"/>
      <c r="Y11" s="30"/>
      <c r="Z11" s="13"/>
      <c r="AA11" s="13"/>
      <c r="AB11" s="13"/>
      <c r="AC11" s="13"/>
      <c r="AD11" s="13"/>
      <c r="AE11" s="13"/>
      <c r="AF11" s="13"/>
      <c r="AG11" s="13"/>
      <c r="AH11" s="13"/>
      <c r="AI11" s="13"/>
      <c r="AJ11" s="13"/>
      <c r="AK11" s="13"/>
      <c r="AL11" s="13"/>
      <c r="AM11" s="13"/>
    </row>
    <row r="12" spans="1:39" ht="15" thickBot="1" x14ac:dyDescent="0.4">
      <c r="A12" s="131" t="s">
        <v>14</v>
      </c>
      <c r="B12" s="127">
        <v>24.1</v>
      </c>
      <c r="C12" s="127">
        <v>135.30000000000001</v>
      </c>
      <c r="D12" s="127">
        <v>227.9</v>
      </c>
      <c r="E12" s="127">
        <f>Table3579[[#This Row],[Column4]]</f>
        <v>227.9</v>
      </c>
      <c r="F12" s="127">
        <f>Table3579[[#This Row],[Column5]]</f>
        <v>227.9</v>
      </c>
      <c r="G12" s="127">
        <f>Table3579[[#This Row],[Column6]]</f>
        <v>227.9</v>
      </c>
      <c r="H12" s="127">
        <f>Table3579[[#This Row],[Column7]]</f>
        <v>227.9</v>
      </c>
      <c r="I12" s="127">
        <f>Table3579[[#This Row],[Column8]]</f>
        <v>227.9</v>
      </c>
      <c r="J12" s="127">
        <f>Table3579[[#This Row],[Column9]]</f>
        <v>227.9</v>
      </c>
      <c r="K12" s="127">
        <f>Table3579[[#This Row],[Column10]]</f>
        <v>227.9</v>
      </c>
      <c r="L12" s="17"/>
      <c r="M12" s="17"/>
      <c r="N12" s="17"/>
      <c r="O12" s="17"/>
      <c r="P12" s="17"/>
      <c r="Q12" s="17"/>
      <c r="R12" s="17"/>
      <c r="S12" s="17"/>
      <c r="T12" s="17"/>
      <c r="U12" s="17"/>
      <c r="V12" s="17"/>
      <c r="W12" s="17"/>
      <c r="X12" s="17"/>
      <c r="Y12" s="39"/>
      <c r="Z12" s="39"/>
      <c r="AA12" s="39"/>
      <c r="AB12" s="39"/>
      <c r="AC12" s="39"/>
      <c r="AD12" s="39"/>
      <c r="AE12" s="39"/>
      <c r="AF12" s="39"/>
      <c r="AG12" s="39"/>
      <c r="AH12" s="39"/>
      <c r="AI12" s="39"/>
      <c r="AJ12" s="39"/>
      <c r="AK12" s="39"/>
      <c r="AL12" s="39"/>
      <c r="AM12" s="39"/>
    </row>
    <row r="13" spans="1:39" ht="15" thickBot="1" x14ac:dyDescent="0.4">
      <c r="A13" s="131" t="s">
        <v>15</v>
      </c>
      <c r="B13" s="132">
        <v>24.1</v>
      </c>
      <c r="C13" s="132">
        <v>135.30000000000001</v>
      </c>
      <c r="D13" s="127">
        <v>227.9</v>
      </c>
      <c r="E13" s="127">
        <f>Table3579[[#This Row],[Column4]]</f>
        <v>227.9</v>
      </c>
      <c r="F13" s="127">
        <f>Table3579[[#This Row],[Column5]]</f>
        <v>227.9</v>
      </c>
      <c r="G13" s="127">
        <f>Table3579[[#This Row],[Column6]]</f>
        <v>227.9</v>
      </c>
      <c r="H13" s="127">
        <f>Table3579[[#This Row],[Column7]]</f>
        <v>227.9</v>
      </c>
      <c r="I13" s="127">
        <f>Table3579[[#This Row],[Column8]]</f>
        <v>227.9</v>
      </c>
      <c r="J13" s="127">
        <f>Table3579[[#This Row],[Column9]]</f>
        <v>227.9</v>
      </c>
      <c r="K13" s="127">
        <f>Table3579[[#This Row],[Column10]]</f>
        <v>227.9</v>
      </c>
      <c r="L13" s="13"/>
      <c r="M13" s="13"/>
      <c r="N13" s="13"/>
      <c r="O13" s="13"/>
      <c r="P13" s="13"/>
      <c r="Q13" s="13"/>
      <c r="R13" s="13"/>
      <c r="S13" s="13"/>
      <c r="T13" s="13"/>
      <c r="U13" s="13"/>
      <c r="V13" s="13"/>
      <c r="W13" s="13"/>
      <c r="X13" s="13"/>
      <c r="Y13" s="30"/>
      <c r="Z13" s="30"/>
      <c r="AA13" s="30"/>
      <c r="AB13" s="39"/>
      <c r="AC13" s="39"/>
      <c r="AD13" s="39"/>
      <c r="AE13" s="39"/>
      <c r="AF13" s="39"/>
      <c r="AG13" s="39"/>
      <c r="AH13" s="39"/>
      <c r="AI13" s="39"/>
      <c r="AJ13" s="39"/>
      <c r="AK13" s="39"/>
      <c r="AL13" s="39"/>
      <c r="AM13" s="39"/>
    </row>
    <row r="14" spans="1:39" ht="15" thickBot="1" x14ac:dyDescent="0.4">
      <c r="A14" s="131" t="s">
        <v>32</v>
      </c>
      <c r="B14" s="132">
        <v>24.1</v>
      </c>
      <c r="C14" s="132">
        <v>135.30000000000001</v>
      </c>
      <c r="D14" s="127">
        <v>227.9</v>
      </c>
      <c r="E14" s="127">
        <f>Table3579[[#This Row],[Column4]]</f>
        <v>227.9</v>
      </c>
      <c r="F14" s="127">
        <f>Table3579[[#This Row],[Column5]]</f>
        <v>227.9</v>
      </c>
      <c r="G14" s="127">
        <f>Table3579[[#This Row],[Column6]]</f>
        <v>227.9</v>
      </c>
      <c r="H14" s="127">
        <f>Table3579[[#This Row],[Column7]]</f>
        <v>227.9</v>
      </c>
      <c r="I14" s="127">
        <f>Table3579[[#This Row],[Column8]]</f>
        <v>227.9</v>
      </c>
      <c r="J14" s="127">
        <f>Table3579[[#This Row],[Column9]]</f>
        <v>227.9</v>
      </c>
      <c r="K14" s="127">
        <f>Table3579[[#This Row],[Column10]]</f>
        <v>227.9</v>
      </c>
      <c r="L14" s="13"/>
      <c r="M14" s="13"/>
      <c r="N14" s="13"/>
      <c r="O14" s="13"/>
      <c r="P14" s="13"/>
      <c r="Q14" s="13"/>
      <c r="R14" s="13"/>
      <c r="S14" s="13"/>
      <c r="T14" s="13"/>
      <c r="U14" s="13"/>
      <c r="V14" s="13"/>
      <c r="W14" s="13"/>
      <c r="X14" s="13"/>
      <c r="Y14" s="30"/>
      <c r="Z14" s="30"/>
      <c r="AA14" s="30"/>
      <c r="AB14" s="39"/>
      <c r="AC14" s="39"/>
      <c r="AD14" s="39"/>
      <c r="AE14" s="39"/>
      <c r="AF14" s="39"/>
      <c r="AG14" s="39"/>
      <c r="AH14" s="39"/>
      <c r="AI14" s="39"/>
      <c r="AJ14" s="39"/>
      <c r="AK14" s="39"/>
      <c r="AL14" s="39"/>
      <c r="AM14" s="39"/>
    </row>
    <row r="15" spans="1:39" ht="15" thickBot="1" x14ac:dyDescent="0.4">
      <c r="A15" s="131" t="s">
        <v>33</v>
      </c>
      <c r="B15" s="133"/>
      <c r="C15" s="132"/>
      <c r="D15" s="132"/>
      <c r="E15" s="132">
        <v>24</v>
      </c>
      <c r="F15" s="127">
        <v>135</v>
      </c>
      <c r="G15" s="127">
        <v>227.9</v>
      </c>
      <c r="H15" s="127">
        <f>Table3579[[#This Row],[Column7]]</f>
        <v>227.9</v>
      </c>
      <c r="I15" s="127">
        <f>Table3579[[#This Row],[Column8]]</f>
        <v>227.9</v>
      </c>
      <c r="J15" s="127">
        <f>Table3579[[#This Row],[Column9]]</f>
        <v>227.9</v>
      </c>
      <c r="K15" s="127">
        <f>Table3579[[#This Row],[Column10]]</f>
        <v>227.9</v>
      </c>
      <c r="L15" s="13"/>
      <c r="M15" s="13"/>
      <c r="N15" s="13"/>
      <c r="O15" s="13"/>
      <c r="P15" s="13"/>
      <c r="Q15" s="13"/>
      <c r="R15" s="13"/>
      <c r="S15" s="13"/>
      <c r="T15" s="13"/>
      <c r="U15" s="13"/>
      <c r="V15" s="13"/>
      <c r="W15" s="13"/>
      <c r="X15" s="13"/>
      <c r="Y15" s="30"/>
      <c r="Z15" s="13"/>
      <c r="AA15" s="30"/>
      <c r="AB15" s="30"/>
      <c r="AC15" s="30"/>
      <c r="AD15" s="39"/>
      <c r="AE15" s="39"/>
      <c r="AF15" s="39"/>
      <c r="AG15" s="39"/>
      <c r="AH15" s="39"/>
      <c r="AI15" s="39"/>
      <c r="AJ15" s="39"/>
      <c r="AK15" s="39"/>
      <c r="AL15" s="39"/>
      <c r="AM15" s="39"/>
    </row>
    <row r="16" spans="1:39" ht="15" thickBot="1" x14ac:dyDescent="0.4">
      <c r="A16" s="134" t="s">
        <v>34</v>
      </c>
      <c r="B16" s="135"/>
      <c r="C16" s="135"/>
      <c r="D16" s="135"/>
      <c r="E16" s="135">
        <v>24</v>
      </c>
      <c r="F16" s="136">
        <v>135</v>
      </c>
      <c r="G16" s="136">
        <v>227.9</v>
      </c>
      <c r="H16" s="127">
        <f>Table3579[[#This Row],[Column7]]</f>
        <v>227.9</v>
      </c>
      <c r="I16" s="127">
        <f>Table3579[[#This Row],[Column8]]</f>
        <v>227.9</v>
      </c>
      <c r="J16" s="127">
        <f>Table3579[[#This Row],[Column9]]</f>
        <v>227.9</v>
      </c>
      <c r="K16" s="127">
        <f>Table3579[[#This Row],[Column10]]</f>
        <v>227.9</v>
      </c>
      <c r="L16" s="15"/>
      <c r="M16" s="15"/>
      <c r="N16" s="15"/>
      <c r="O16" s="15"/>
      <c r="P16" s="15"/>
      <c r="Q16" s="15"/>
      <c r="R16" s="15"/>
      <c r="S16" s="15"/>
      <c r="T16" s="15"/>
      <c r="U16" s="15"/>
      <c r="V16" s="15"/>
      <c r="W16" s="15"/>
      <c r="X16" s="15"/>
      <c r="Y16" s="32"/>
      <c r="Z16" s="15"/>
      <c r="AA16" s="15"/>
      <c r="AB16" s="15"/>
      <c r="AC16" s="15"/>
      <c r="AD16" s="32"/>
      <c r="AE16" s="32"/>
      <c r="AF16" s="32"/>
      <c r="AG16" s="39"/>
      <c r="AH16" s="39"/>
      <c r="AI16" s="39"/>
      <c r="AJ16" s="39"/>
      <c r="AK16" s="39"/>
      <c r="AL16" s="39"/>
      <c r="AM16" s="39"/>
    </row>
    <row r="17" spans="1:11" x14ac:dyDescent="0.35">
      <c r="A17"/>
    </row>
    <row r="18" spans="1:11" x14ac:dyDescent="0.35">
      <c r="A18"/>
    </row>
    <row r="19" spans="1:11" ht="15" thickBot="1" x14ac:dyDescent="0.4"/>
    <row r="20" spans="1:11" x14ac:dyDescent="0.35">
      <c r="A20" s="87" t="s">
        <v>20</v>
      </c>
      <c r="B20" s="88"/>
      <c r="C20" s="88"/>
      <c r="D20" s="88"/>
      <c r="E20" s="88"/>
      <c r="F20" s="88"/>
      <c r="G20" s="88"/>
      <c r="H20" s="88"/>
      <c r="I20" s="88"/>
      <c r="J20" s="88"/>
      <c r="K20" s="89"/>
    </row>
    <row r="21" spans="1:11" x14ac:dyDescent="0.35">
      <c r="A21" s="90" t="s">
        <v>21</v>
      </c>
      <c r="B21" s="91"/>
      <c r="C21" s="91"/>
      <c r="D21" s="91"/>
      <c r="E21" s="91"/>
      <c r="F21" s="91"/>
      <c r="G21" s="91"/>
      <c r="H21" s="91"/>
      <c r="I21" s="91"/>
      <c r="J21" s="91"/>
      <c r="K21" s="92"/>
    </row>
    <row r="22" spans="1:11" x14ac:dyDescent="0.35">
      <c r="A22" s="90" t="s">
        <v>22</v>
      </c>
      <c r="B22" s="91"/>
      <c r="C22" s="91"/>
      <c r="D22" s="91"/>
      <c r="E22" s="91"/>
      <c r="F22" s="91"/>
      <c r="G22" s="91"/>
      <c r="H22" s="91"/>
      <c r="I22" s="91"/>
      <c r="J22" s="91"/>
      <c r="K22" s="92"/>
    </row>
    <row r="23" spans="1:11" ht="15" thickBot="1" x14ac:dyDescent="0.4">
      <c r="A23" s="84" t="s">
        <v>23</v>
      </c>
      <c r="B23" s="85"/>
      <c r="C23" s="85"/>
      <c r="D23" s="85"/>
      <c r="E23" s="85"/>
      <c r="F23" s="85"/>
      <c r="G23" s="85"/>
      <c r="H23" s="85"/>
      <c r="I23" s="85"/>
      <c r="J23" s="85"/>
      <c r="K23" s="86"/>
    </row>
    <row r="25" spans="1:11" hidden="1" x14ac:dyDescent="0.35"/>
    <row r="26" spans="1:11" hidden="1" x14ac:dyDescent="0.35">
      <c r="B26">
        <f t="shared" ref="B26:K26" si="0">IF(SUM(B8,B12:B20)=SUM(A8,A12:A20),0,1)</f>
        <v>1</v>
      </c>
      <c r="C26">
        <f t="shared" si="0"/>
        <v>1</v>
      </c>
      <c r="D26">
        <f t="shared" si="0"/>
        <v>1</v>
      </c>
      <c r="E26">
        <f t="shared" si="0"/>
        <v>1</v>
      </c>
      <c r="F26">
        <f t="shared" si="0"/>
        <v>1</v>
      </c>
      <c r="G26">
        <f t="shared" si="0"/>
        <v>1</v>
      </c>
      <c r="H26">
        <f t="shared" si="0"/>
        <v>0</v>
      </c>
      <c r="I26">
        <f t="shared" si="0"/>
        <v>0</v>
      </c>
      <c r="J26">
        <f t="shared" si="0"/>
        <v>0</v>
      </c>
      <c r="K26">
        <f t="shared" si="0"/>
        <v>0</v>
      </c>
    </row>
  </sheetData>
  <mergeCells count="16">
    <mergeCell ref="A4:D4"/>
    <mergeCell ref="E4:K4"/>
    <mergeCell ref="A1:K1"/>
    <mergeCell ref="A2:D2"/>
    <mergeCell ref="E2:K2"/>
    <mergeCell ref="A3:D3"/>
    <mergeCell ref="E3:K3"/>
    <mergeCell ref="A21:K21"/>
    <mergeCell ref="A22:K22"/>
    <mergeCell ref="A23:K23"/>
    <mergeCell ref="A5:D5"/>
    <mergeCell ref="E5:K5"/>
    <mergeCell ref="A6:D6"/>
    <mergeCell ref="E6:K6"/>
    <mergeCell ref="B10:K10"/>
    <mergeCell ref="A20:K20"/>
  </mergeCells>
  <conditionalFormatting sqref="E7:AM7">
    <cfRule type="containsText" dxfId="1191" priority="4" operator="containsText" text="10/12/xxxx">
      <formula>NOT(ISERROR(SEARCH("10/12/xxxx",E7)))</formula>
    </cfRule>
  </conditionalFormatting>
  <conditionalFormatting sqref="B9:AM9">
    <cfRule type="containsText" dxfId="1190" priority="3" operator="containsText" text="xx/xx/xxxx">
      <formula>NOT(ISERROR(SEARCH("xx/xx/xxxx",B9)))</formula>
    </cfRule>
  </conditionalFormatting>
  <conditionalFormatting sqref="B7">
    <cfRule type="containsText" dxfId="1189" priority="2" operator="containsText" text="10/12/xxxx">
      <formula>NOT(ISERROR(SEARCH("10/12/xxxx",B7)))</formula>
    </cfRule>
  </conditionalFormatting>
  <conditionalFormatting sqref="C7:D7">
    <cfRule type="containsText" dxfId="1188" priority="1" operator="containsText" text="10/12/xxxx">
      <formula>NOT(ISERROR(SEARCH("10/12/xxxx",C7)))</formula>
    </cfRule>
  </conditionalFormatting>
  <dataValidations count="5">
    <dataValidation allowBlank="1" showInputMessage="1" showErrorMessage="1" prompt="Please input the correct Rehabilitation Area number (RA#)" sqref="E2:K2" xr:uid="{0038BA89-4005-4A64-9C3A-3B6DB25D75A3}"/>
    <dataValidation allowBlank="1" showInputMessage="1" showErrorMessage="1" promptTitle="Insert Area (ha)" prompt="Please insert the cumulative area available in hectares (ha)" sqref="E8:K8" xr:uid="{401FE377-7615-4382-8121-EFE6A66A18E4}"/>
    <dataValidation allowBlank="1" showInputMessage="1" showErrorMessage="1" promptTitle="Insert Date" prompt="Please insert the data the milestone is to be completed by" sqref="B9:AM9" xr:uid="{26D78916-73B2-475F-8AA8-A8F566D0483B}"/>
    <dataValidation allowBlank="1" showInputMessage="1" showErrorMessage="1" promptTitle="Insert Date" prompt="Please insert the date the area is available for rehabilitation" sqref="B7:AM7" xr:uid="{4AE6F839-9314-4E99-B93B-97833F7A5CD7}"/>
    <dataValidation allowBlank="1" showInputMessage="1" showErrorMessage="1" promptTitle="Rehabilitation Milestone" prompt="Insert the Rehabilitation Milestone number here (RM#)" sqref="A11:A16" xr:uid="{F09946C6-EA53-4822-82A7-472FB91A113E}"/>
  </dataValidations>
  <pageMargins left="0.7" right="0.7" top="0.75" bottom="0.75" header="0.3" footer="0.3"/>
  <pageSetup paperSize="9" orientation="portrait"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E2ED5-DC92-4505-B949-0531ADD33AFA}">
  <dimension ref="A1:AN24"/>
  <sheetViews>
    <sheetView zoomScale="70" zoomScaleNormal="70" workbookViewId="0">
      <selection activeCell="I35" sqref="I35"/>
    </sheetView>
  </sheetViews>
  <sheetFormatPr defaultColWidth="12.1796875" defaultRowHeight="14.5" x14ac:dyDescent="0.35"/>
  <cols>
    <col min="1" max="1" width="36.81640625" style="2" bestFit="1" customWidth="1"/>
    <col min="12" max="40" width="12.1796875" hidden="1" customWidth="1"/>
  </cols>
  <sheetData>
    <row r="1" spans="1:40" ht="23.25" customHeight="1" thickBot="1" x14ac:dyDescent="0.5">
      <c r="A1" s="93" t="s">
        <v>0</v>
      </c>
      <c r="B1" s="94"/>
      <c r="C1" s="94"/>
      <c r="D1" s="94"/>
      <c r="E1" s="94"/>
      <c r="F1" s="94"/>
      <c r="G1" s="94"/>
      <c r="H1" s="94"/>
      <c r="I1" s="94"/>
      <c r="J1" s="94"/>
      <c r="K1" s="95"/>
    </row>
    <row r="2" spans="1:40" ht="16" customHeight="1" thickBot="1" x14ac:dyDescent="0.4">
      <c r="A2" s="100" t="s">
        <v>1</v>
      </c>
      <c r="B2" s="100"/>
      <c r="C2" s="100"/>
      <c r="D2" s="100"/>
      <c r="E2" s="96" t="s">
        <v>35</v>
      </c>
      <c r="F2" s="96"/>
      <c r="G2" s="96"/>
      <c r="H2" s="96"/>
      <c r="I2" s="96"/>
      <c r="J2" s="96"/>
      <c r="K2" s="96"/>
    </row>
    <row r="3" spans="1:40" ht="16" customHeight="1" thickBot="1" x14ac:dyDescent="0.4">
      <c r="A3" s="100" t="s">
        <v>3</v>
      </c>
      <c r="B3" s="100"/>
      <c r="C3" s="100"/>
      <c r="D3" s="100"/>
      <c r="E3" s="96" t="s">
        <v>36</v>
      </c>
      <c r="F3" s="96"/>
      <c r="G3" s="96"/>
      <c r="H3" s="96"/>
      <c r="I3" s="96"/>
      <c r="J3" s="96"/>
      <c r="K3" s="96"/>
    </row>
    <row r="4" spans="1:40" ht="16" customHeight="1" thickBot="1" x14ac:dyDescent="0.4">
      <c r="A4" s="100" t="s">
        <v>5</v>
      </c>
      <c r="B4" s="100"/>
      <c r="C4" s="100"/>
      <c r="D4" s="100"/>
      <c r="E4" s="97">
        <v>16.771999999999998</v>
      </c>
      <c r="F4" s="97"/>
      <c r="G4" s="97"/>
      <c r="H4" s="97"/>
      <c r="I4" s="97"/>
      <c r="J4" s="97"/>
      <c r="K4" s="97"/>
    </row>
    <row r="5" spans="1:40" ht="32.15" customHeight="1" thickBot="1" x14ac:dyDescent="0.4">
      <c r="A5" s="99" t="s">
        <v>37</v>
      </c>
      <c r="B5" s="99"/>
      <c r="C5" s="99"/>
      <c r="D5" s="99"/>
      <c r="E5" s="98">
        <v>55154</v>
      </c>
      <c r="F5" s="96"/>
      <c r="G5" s="96"/>
      <c r="H5" s="96"/>
      <c r="I5" s="96"/>
      <c r="J5" s="96"/>
      <c r="K5" s="96"/>
    </row>
    <row r="6" spans="1:40" ht="16" customHeight="1" thickBot="1" x14ac:dyDescent="0.4">
      <c r="A6" s="100" t="s">
        <v>7</v>
      </c>
      <c r="B6" s="100"/>
      <c r="C6" s="100"/>
      <c r="D6" s="100"/>
      <c r="E6" s="96" t="s">
        <v>30</v>
      </c>
      <c r="F6" s="96"/>
      <c r="G6" s="96"/>
      <c r="H6" s="96"/>
      <c r="I6" s="96"/>
      <c r="J6" s="96"/>
      <c r="K6" s="96"/>
    </row>
    <row r="7" spans="1:40" ht="31" customHeight="1" thickBot="1" x14ac:dyDescent="0.4">
      <c r="A7" s="3" t="s">
        <v>9</v>
      </c>
      <c r="B7" s="11">
        <v>54767</v>
      </c>
      <c r="C7" s="11"/>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row>
    <row r="8" spans="1:40" ht="31" customHeight="1" thickBot="1" x14ac:dyDescent="0.4">
      <c r="A8" s="74" t="s">
        <v>10</v>
      </c>
      <c r="B8" s="75">
        <v>16.771999999999998</v>
      </c>
      <c r="C8" s="75"/>
      <c r="D8" s="75"/>
      <c r="E8" s="75"/>
      <c r="F8" s="75"/>
      <c r="G8" s="75"/>
      <c r="H8" s="75"/>
      <c r="I8" s="75"/>
      <c r="J8" s="75"/>
      <c r="K8" s="75"/>
      <c r="L8" s="54"/>
      <c r="M8" s="53"/>
      <c r="N8" s="53"/>
      <c r="O8" s="53"/>
      <c r="P8" s="54"/>
      <c r="Q8" s="53"/>
      <c r="R8" s="53"/>
      <c r="S8" s="53"/>
      <c r="T8" s="53"/>
      <c r="U8" s="53"/>
      <c r="V8" s="53"/>
      <c r="W8" s="56"/>
      <c r="X8" s="56"/>
      <c r="Y8" s="57"/>
      <c r="Z8" s="56"/>
      <c r="AA8" s="56"/>
      <c r="AB8" s="56"/>
      <c r="AC8" s="56"/>
      <c r="AD8" s="35"/>
      <c r="AE8" s="35"/>
      <c r="AF8" s="35"/>
      <c r="AG8" s="35"/>
      <c r="AH8" s="35"/>
      <c r="AI8" s="35"/>
      <c r="AJ8" s="35"/>
      <c r="AK8" s="35"/>
      <c r="AL8" s="35"/>
      <c r="AM8" s="35"/>
      <c r="AN8" s="35"/>
    </row>
    <row r="9" spans="1:40" ht="31" customHeight="1" thickBot="1" x14ac:dyDescent="0.4">
      <c r="A9" s="51" t="s">
        <v>11</v>
      </c>
      <c r="B9" s="52">
        <v>57324</v>
      </c>
      <c r="C9" s="52">
        <v>60977</v>
      </c>
      <c r="D9" s="52"/>
      <c r="E9" s="52"/>
      <c r="F9" s="52"/>
      <c r="G9" s="52"/>
      <c r="H9" s="52"/>
      <c r="I9" s="52"/>
      <c r="J9" s="52"/>
      <c r="K9" s="52"/>
      <c r="L9" s="52"/>
      <c r="M9" s="52"/>
      <c r="N9" s="52"/>
      <c r="O9" s="52"/>
      <c r="P9" s="52"/>
      <c r="Q9" s="52"/>
      <c r="R9" s="52"/>
      <c r="S9" s="52"/>
      <c r="T9" s="52"/>
      <c r="U9" s="52"/>
      <c r="V9" s="52"/>
      <c r="W9" s="52"/>
      <c r="X9" s="52"/>
      <c r="Y9" s="52"/>
      <c r="Z9" s="52"/>
      <c r="AA9" s="52"/>
      <c r="AB9" s="52"/>
      <c r="AC9" s="52"/>
      <c r="AD9" s="12"/>
      <c r="AE9" s="12"/>
      <c r="AF9" s="12"/>
      <c r="AG9" s="12"/>
      <c r="AH9" s="12"/>
      <c r="AI9" s="12"/>
      <c r="AJ9" s="12"/>
      <c r="AK9" s="12"/>
      <c r="AL9" s="12"/>
      <c r="AM9" s="12"/>
      <c r="AN9" s="12"/>
    </row>
    <row r="10" spans="1:40" ht="15" thickBot="1" x14ac:dyDescent="0.4">
      <c r="A10" s="1" t="s">
        <v>12</v>
      </c>
      <c r="B10" s="81" t="s">
        <v>13</v>
      </c>
      <c r="C10" s="82"/>
      <c r="D10" s="82"/>
      <c r="E10" s="82"/>
      <c r="F10" s="82"/>
      <c r="G10" s="82"/>
      <c r="H10" s="82"/>
      <c r="I10" s="82"/>
      <c r="J10" s="82"/>
      <c r="K10" s="83"/>
    </row>
    <row r="11" spans="1:40" ht="15" thickBot="1" x14ac:dyDescent="0.4">
      <c r="A11" s="23" t="s">
        <v>31</v>
      </c>
      <c r="B11" s="39">
        <v>16.771999999999998</v>
      </c>
      <c r="C11" s="68">
        <f>Table357911[[#This Row],[Column2]]</f>
        <v>16.771999999999998</v>
      </c>
      <c r="D11" s="37"/>
      <c r="E11" s="37"/>
      <c r="F11" s="13"/>
      <c r="G11" s="13"/>
      <c r="H11" s="13"/>
      <c r="I11" s="13"/>
      <c r="J11" s="13"/>
      <c r="K11" s="14"/>
      <c r="L11" s="17"/>
      <c r="M11" s="17"/>
      <c r="N11" s="17"/>
      <c r="O11" s="17"/>
      <c r="P11" s="17"/>
      <c r="Q11" s="17"/>
      <c r="R11" s="17"/>
      <c r="S11" s="17"/>
      <c r="T11" s="17"/>
      <c r="U11" s="17"/>
      <c r="V11" s="17"/>
      <c r="W11" s="17"/>
      <c r="X11" s="37"/>
      <c r="Y11" s="37"/>
      <c r="Z11" s="37"/>
      <c r="AA11" s="37"/>
      <c r="AB11" s="37"/>
      <c r="AC11" s="37"/>
      <c r="AD11" s="37"/>
      <c r="AE11" s="37"/>
      <c r="AF11" s="37"/>
      <c r="AG11" s="37"/>
      <c r="AH11" s="37"/>
      <c r="AI11" s="37"/>
      <c r="AJ11" s="37"/>
      <c r="AK11" s="37"/>
      <c r="AL11" s="37"/>
      <c r="AM11" s="37"/>
      <c r="AN11" s="37"/>
    </row>
    <row r="12" spans="1:40" ht="15" thickBot="1" x14ac:dyDescent="0.4">
      <c r="A12" s="23" t="s">
        <v>14</v>
      </c>
      <c r="B12" s="30">
        <v>16.771999999999998</v>
      </c>
      <c r="C12" s="68">
        <f>Table357911[[#This Row],[Column2]]</f>
        <v>16.771999999999998</v>
      </c>
      <c r="D12" s="37"/>
      <c r="E12" s="37"/>
      <c r="F12" s="13"/>
      <c r="G12" s="13"/>
      <c r="H12" s="13"/>
      <c r="I12" s="13"/>
      <c r="J12" s="13"/>
      <c r="K12" s="14"/>
      <c r="L12" s="13"/>
      <c r="M12" s="13"/>
      <c r="N12" s="13"/>
      <c r="O12" s="13"/>
      <c r="P12" s="13"/>
      <c r="Q12" s="13"/>
      <c r="R12" s="13"/>
      <c r="S12" s="13"/>
      <c r="T12" s="13"/>
      <c r="U12" s="13"/>
      <c r="V12" s="13"/>
      <c r="W12" s="13"/>
      <c r="X12" s="13"/>
      <c r="Y12" s="36"/>
      <c r="Z12" s="37"/>
      <c r="AA12" s="37"/>
      <c r="AB12" s="37"/>
      <c r="AC12" s="37"/>
      <c r="AD12" s="37"/>
      <c r="AE12" s="37"/>
      <c r="AF12" s="37"/>
      <c r="AG12" s="37"/>
      <c r="AH12" s="37"/>
      <c r="AI12" s="37"/>
      <c r="AJ12" s="37"/>
      <c r="AK12" s="37"/>
      <c r="AL12" s="37"/>
      <c r="AM12" s="37"/>
      <c r="AN12" s="37"/>
    </row>
    <row r="13" spans="1:40" ht="15" thickBot="1" x14ac:dyDescent="0.4">
      <c r="A13" s="23" t="s">
        <v>15</v>
      </c>
      <c r="B13" s="30">
        <v>16.771999999999998</v>
      </c>
      <c r="C13" s="68">
        <f>Table357911[[#This Row],[Column2]]</f>
        <v>16.771999999999998</v>
      </c>
      <c r="D13" s="37"/>
      <c r="E13" s="37"/>
      <c r="F13" s="13"/>
      <c r="G13" s="13"/>
      <c r="H13" s="13"/>
      <c r="I13" s="13"/>
      <c r="J13" s="13"/>
      <c r="K13" s="14"/>
      <c r="L13" s="13"/>
      <c r="M13" s="13"/>
      <c r="N13" s="13"/>
      <c r="O13" s="13"/>
      <c r="P13" s="13"/>
      <c r="Q13" s="13"/>
      <c r="R13" s="13"/>
      <c r="S13" s="13"/>
      <c r="T13" s="13"/>
      <c r="U13" s="13"/>
      <c r="V13" s="13"/>
      <c r="W13" s="13"/>
      <c r="X13" s="13"/>
      <c r="Y13" s="36"/>
      <c r="Z13" s="37"/>
      <c r="AA13" s="37"/>
      <c r="AB13" s="37"/>
      <c r="AC13" s="37"/>
      <c r="AD13" s="37"/>
      <c r="AE13" s="37"/>
      <c r="AF13" s="37"/>
      <c r="AG13" s="37"/>
      <c r="AH13" s="37"/>
      <c r="AI13" s="37"/>
      <c r="AJ13" s="37"/>
      <c r="AK13" s="37"/>
      <c r="AL13" s="37"/>
      <c r="AM13" s="37"/>
      <c r="AN13" s="37"/>
    </row>
    <row r="14" spans="1:40" ht="15" thickBot="1" x14ac:dyDescent="0.4">
      <c r="A14" s="23" t="s">
        <v>32</v>
      </c>
      <c r="B14" s="30">
        <v>16.771999999999998</v>
      </c>
      <c r="C14" s="68">
        <f>Table357911[[#This Row],[Column2]]</f>
        <v>16.771999999999998</v>
      </c>
      <c r="D14" s="37"/>
      <c r="E14" s="37"/>
      <c r="F14" s="13"/>
      <c r="G14" s="13"/>
      <c r="H14" s="13"/>
      <c r="I14" s="13"/>
      <c r="J14" s="13"/>
      <c r="K14" s="14"/>
      <c r="L14" s="13"/>
      <c r="M14" s="13"/>
      <c r="N14" s="13"/>
      <c r="O14" s="13"/>
      <c r="P14" s="13"/>
      <c r="Q14" s="13"/>
      <c r="R14" s="13"/>
      <c r="S14" s="13"/>
      <c r="T14" s="13"/>
      <c r="U14" s="13"/>
      <c r="V14" s="13"/>
      <c r="W14" s="13"/>
      <c r="X14" s="13"/>
      <c r="Y14" s="36"/>
      <c r="Z14" s="37"/>
      <c r="AA14" s="37"/>
      <c r="AB14" s="37"/>
      <c r="AC14" s="37"/>
      <c r="AD14" s="37"/>
      <c r="AE14" s="37"/>
      <c r="AF14" s="37"/>
      <c r="AG14" s="37"/>
      <c r="AH14" s="37"/>
      <c r="AI14" s="37"/>
      <c r="AJ14" s="37"/>
      <c r="AK14" s="37"/>
      <c r="AL14" s="37"/>
      <c r="AM14" s="37"/>
      <c r="AN14" s="37"/>
    </row>
    <row r="15" spans="1:40" ht="15" thickBot="1" x14ac:dyDescent="0.4">
      <c r="A15" s="23" t="s">
        <v>33</v>
      </c>
      <c r="B15" s="32"/>
      <c r="C15" s="32">
        <v>16.771999999999998</v>
      </c>
      <c r="D15" s="38"/>
      <c r="E15" s="38"/>
      <c r="F15" s="15"/>
      <c r="G15" s="15"/>
      <c r="H15" s="15"/>
      <c r="I15" s="15"/>
      <c r="J15" s="15"/>
      <c r="K15" s="16"/>
      <c r="L15" s="15"/>
      <c r="M15" s="15"/>
      <c r="N15" s="15"/>
      <c r="O15" s="15"/>
      <c r="P15" s="15"/>
      <c r="Q15" s="15"/>
      <c r="R15" s="15"/>
      <c r="S15" s="15"/>
      <c r="T15" s="15"/>
      <c r="U15" s="15"/>
      <c r="V15" s="15"/>
      <c r="W15" s="15"/>
      <c r="X15" s="15"/>
      <c r="Y15" s="15"/>
      <c r="Z15" s="15"/>
      <c r="AA15" s="38"/>
      <c r="AB15" s="38"/>
      <c r="AC15" s="38"/>
      <c r="AD15" s="38"/>
      <c r="AE15" s="36"/>
      <c r="AF15" s="36"/>
      <c r="AG15" s="36"/>
      <c r="AH15" s="36"/>
      <c r="AI15" s="36"/>
      <c r="AJ15" s="36"/>
      <c r="AK15" s="36"/>
      <c r="AL15" s="36"/>
      <c r="AM15" s="36"/>
      <c r="AN15" s="36"/>
    </row>
    <row r="16" spans="1:40" ht="15" thickBot="1" x14ac:dyDescent="0.4">
      <c r="A16" s="23" t="s">
        <v>34</v>
      </c>
      <c r="B16" s="30"/>
      <c r="C16" s="32">
        <v>16.771999999999998</v>
      </c>
      <c r="D16" s="13"/>
      <c r="E16" s="38"/>
      <c r="F16" s="13"/>
      <c r="G16" s="13"/>
      <c r="H16" s="13"/>
      <c r="I16" s="13"/>
      <c r="J16" s="13"/>
      <c r="K16" s="14"/>
      <c r="L16" s="13"/>
      <c r="M16" s="13"/>
      <c r="N16" s="13"/>
      <c r="O16" s="13"/>
      <c r="P16" s="13"/>
      <c r="Q16" s="13"/>
      <c r="R16" s="13"/>
      <c r="S16" s="13"/>
      <c r="T16" s="13"/>
      <c r="U16" s="13"/>
      <c r="V16" s="13"/>
      <c r="W16" s="13"/>
      <c r="X16" s="13"/>
      <c r="Y16" s="13"/>
      <c r="Z16" s="13"/>
      <c r="AA16" s="13"/>
      <c r="AB16" s="13"/>
      <c r="AC16" s="13"/>
      <c r="AD16" s="38"/>
      <c r="AE16" s="38"/>
      <c r="AF16" s="38"/>
      <c r="AG16" s="38"/>
      <c r="AH16" s="38"/>
      <c r="AI16" s="38"/>
      <c r="AJ16" s="38"/>
      <c r="AK16" s="38"/>
      <c r="AL16" s="38"/>
      <c r="AM16" s="38"/>
      <c r="AN16" s="38"/>
    </row>
    <row r="17" spans="1:11" x14ac:dyDescent="0.35">
      <c r="A17"/>
    </row>
    <row r="18" spans="1:11" ht="15" thickBot="1" x14ac:dyDescent="0.4"/>
    <row r="19" spans="1:11" x14ac:dyDescent="0.35">
      <c r="A19" s="87" t="s">
        <v>20</v>
      </c>
      <c r="B19" s="88"/>
      <c r="C19" s="88"/>
      <c r="D19" s="88"/>
      <c r="E19" s="88"/>
      <c r="F19" s="88"/>
      <c r="G19" s="88"/>
      <c r="H19" s="88"/>
      <c r="I19" s="88"/>
      <c r="J19" s="88"/>
      <c r="K19" s="89"/>
    </row>
    <row r="20" spans="1:11" x14ac:dyDescent="0.35">
      <c r="A20" s="90" t="s">
        <v>21</v>
      </c>
      <c r="B20" s="91"/>
      <c r="C20" s="91"/>
      <c r="D20" s="91"/>
      <c r="E20" s="91"/>
      <c r="F20" s="91"/>
      <c r="G20" s="91"/>
      <c r="H20" s="91"/>
      <c r="I20" s="91"/>
      <c r="J20" s="91"/>
      <c r="K20" s="92"/>
    </row>
    <row r="21" spans="1:11" x14ac:dyDescent="0.35">
      <c r="A21" s="90" t="s">
        <v>22</v>
      </c>
      <c r="B21" s="91"/>
      <c r="C21" s="91"/>
      <c r="D21" s="91"/>
      <c r="E21" s="91"/>
      <c r="F21" s="91"/>
      <c r="G21" s="91"/>
      <c r="H21" s="91"/>
      <c r="I21" s="91"/>
      <c r="J21" s="91"/>
      <c r="K21" s="92"/>
    </row>
    <row r="22" spans="1:11" ht="15" thickBot="1" x14ac:dyDescent="0.4">
      <c r="A22" s="84" t="s">
        <v>23</v>
      </c>
      <c r="B22" s="85"/>
      <c r="C22" s="85"/>
      <c r="D22" s="85"/>
      <c r="E22" s="85"/>
      <c r="F22" s="85"/>
      <c r="G22" s="85"/>
      <c r="H22" s="85"/>
      <c r="I22" s="85"/>
      <c r="J22" s="85"/>
      <c r="K22" s="86"/>
    </row>
    <row r="24" spans="1:11" hidden="1" x14ac:dyDescent="0.35">
      <c r="B24">
        <f>IF(SUM(B8,B11:B18)=SUM(A8,A11:A18),0,1)</f>
        <v>1</v>
      </c>
      <c r="C24">
        <f t="shared" ref="C24:K24" si="0">IF(SUM(C8,C11:C18)=SUM(B8,B11:B18),0,1)</f>
        <v>1</v>
      </c>
      <c r="D24">
        <f t="shared" si="0"/>
        <v>1</v>
      </c>
      <c r="E24">
        <f t="shared" si="0"/>
        <v>0</v>
      </c>
      <c r="F24">
        <f t="shared" si="0"/>
        <v>0</v>
      </c>
      <c r="G24">
        <f t="shared" si="0"/>
        <v>0</v>
      </c>
      <c r="H24">
        <f t="shared" si="0"/>
        <v>0</v>
      </c>
      <c r="I24">
        <f t="shared" si="0"/>
        <v>0</v>
      </c>
      <c r="J24">
        <f t="shared" si="0"/>
        <v>0</v>
      </c>
      <c r="K24">
        <f t="shared" si="0"/>
        <v>0</v>
      </c>
    </row>
  </sheetData>
  <mergeCells count="16">
    <mergeCell ref="A4:D4"/>
    <mergeCell ref="E4:K4"/>
    <mergeCell ref="A1:K1"/>
    <mergeCell ref="A2:D2"/>
    <mergeCell ref="E2:K2"/>
    <mergeCell ref="A3:D3"/>
    <mergeCell ref="E3:K3"/>
    <mergeCell ref="A20:K20"/>
    <mergeCell ref="A21:K21"/>
    <mergeCell ref="A22:K22"/>
    <mergeCell ref="A5:D5"/>
    <mergeCell ref="E5:K5"/>
    <mergeCell ref="A6:D6"/>
    <mergeCell ref="E6:K6"/>
    <mergeCell ref="B10:K10"/>
    <mergeCell ref="A19:K19"/>
  </mergeCells>
  <conditionalFormatting sqref="C7:AN7">
    <cfRule type="containsText" dxfId="1065" priority="3" operator="containsText" text="10/12/xxxx">
      <formula>NOT(ISERROR(SEARCH("10/12/xxxx",C7)))</formula>
    </cfRule>
  </conditionalFormatting>
  <conditionalFormatting sqref="B9:AN9">
    <cfRule type="containsText" dxfId="1064" priority="2" operator="containsText" text="xx/xx/xxxx">
      <formula>NOT(ISERROR(SEARCH("xx/xx/xxxx",B9)))</formula>
    </cfRule>
  </conditionalFormatting>
  <conditionalFormatting sqref="B7">
    <cfRule type="containsText" dxfId="1063" priority="1" operator="containsText" text="10/12/xxxx">
      <formula>NOT(ISERROR(SEARCH("10/12/xxxx",B7)))</formula>
    </cfRule>
  </conditionalFormatting>
  <dataValidations count="5">
    <dataValidation allowBlank="1" showInputMessage="1" showErrorMessage="1" promptTitle="Insert Date" prompt="Please insert the date the area is available for rehabilitation" sqref="B7:AN7" xr:uid="{31A6C962-F865-4467-BA96-5BA6B87AB37A}"/>
    <dataValidation allowBlank="1" showInputMessage="1" showErrorMessage="1" promptTitle="Insert Date" prompt="Please insert the data the milestone is to be completed by" sqref="B9:AN9" xr:uid="{4937C9FB-603A-4FC7-8279-81DA09A5C9E9}"/>
    <dataValidation allowBlank="1" showInputMessage="1" showErrorMessage="1" promptTitle="Insert Area (ha)" prompt="Please insert the cumulative area available in hectares (ha)" sqref="C8:K8" xr:uid="{8C9E462E-D2DB-4273-8CA7-71D69EC93DC0}"/>
    <dataValidation allowBlank="1" showInputMessage="1" showErrorMessage="1" prompt="Please input the correct Rehabilitation Area number (RA#)" sqref="E2:K2" xr:uid="{6EF14660-C3AC-493B-A844-DDC494969FC0}"/>
    <dataValidation allowBlank="1" showInputMessage="1" showErrorMessage="1" promptTitle="Insert Area (ha)" prompt="Please insert the cumulative area achieved in hectares (ha) as required" sqref="F11:K16 B15:B16 D16" xr:uid="{D74F6AFC-21F8-456C-9B7D-85E6A2AADF48}"/>
  </dataValidations>
  <pageMargins left="0.7" right="0.7" top="0.75" bottom="0.75" header="0.3" footer="0.3"/>
  <pageSetup paperSize="9" orientation="portrait"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7A0D5-4F7C-467F-BB4C-3CAC60AFE860}">
  <dimension ref="A1:AE24"/>
  <sheetViews>
    <sheetView zoomScale="70" zoomScaleNormal="70" workbookViewId="0">
      <selection activeCell="AT35" sqref="AT35"/>
    </sheetView>
  </sheetViews>
  <sheetFormatPr defaultColWidth="12.1796875" defaultRowHeight="14.5" x14ac:dyDescent="0.35"/>
  <cols>
    <col min="1" max="1" width="36.54296875" style="2" customWidth="1"/>
    <col min="12" max="31" width="12.1796875" hidden="1" customWidth="1"/>
    <col min="32" max="40" width="0" hidden="1" customWidth="1"/>
  </cols>
  <sheetData>
    <row r="1" spans="1:31" ht="23.25" customHeight="1" thickBot="1" x14ac:dyDescent="0.5">
      <c r="A1" s="93" t="s">
        <v>0</v>
      </c>
      <c r="B1" s="94"/>
      <c r="C1" s="94"/>
      <c r="D1" s="94"/>
      <c r="E1" s="94"/>
      <c r="F1" s="94"/>
      <c r="G1" s="94"/>
      <c r="H1" s="94"/>
      <c r="I1" s="94"/>
      <c r="J1" s="94"/>
      <c r="K1" s="95"/>
    </row>
    <row r="2" spans="1:31" ht="16" customHeight="1" thickBot="1" x14ac:dyDescent="0.4">
      <c r="A2" s="100" t="s">
        <v>1</v>
      </c>
      <c r="B2" s="100"/>
      <c r="C2" s="100"/>
      <c r="D2" s="100"/>
      <c r="E2" s="96" t="s">
        <v>38</v>
      </c>
      <c r="F2" s="96"/>
      <c r="G2" s="96"/>
      <c r="H2" s="96"/>
      <c r="I2" s="96"/>
      <c r="J2" s="96"/>
      <c r="K2" s="96"/>
    </row>
    <row r="3" spans="1:31" ht="16" customHeight="1" thickBot="1" x14ac:dyDescent="0.4">
      <c r="A3" s="100" t="s">
        <v>3</v>
      </c>
      <c r="B3" s="100"/>
      <c r="C3" s="100"/>
      <c r="D3" s="100"/>
      <c r="E3" s="96" t="s">
        <v>39</v>
      </c>
      <c r="F3" s="96"/>
      <c r="G3" s="96"/>
      <c r="H3" s="96"/>
      <c r="I3" s="96"/>
      <c r="J3" s="96"/>
      <c r="K3" s="96"/>
    </row>
    <row r="4" spans="1:31" ht="16" customHeight="1" thickBot="1" x14ac:dyDescent="0.4">
      <c r="A4" s="100" t="s">
        <v>5</v>
      </c>
      <c r="B4" s="100"/>
      <c r="C4" s="100"/>
      <c r="D4" s="100"/>
      <c r="E4" s="101">
        <v>3.173</v>
      </c>
      <c r="F4" s="101"/>
      <c r="G4" s="101"/>
      <c r="H4" s="101"/>
      <c r="I4" s="101"/>
      <c r="J4" s="101"/>
      <c r="K4" s="101"/>
    </row>
    <row r="5" spans="1:31" ht="32.15" customHeight="1" thickBot="1" x14ac:dyDescent="0.4">
      <c r="A5" s="99" t="s">
        <v>37</v>
      </c>
      <c r="B5" s="99"/>
      <c r="C5" s="99"/>
      <c r="D5" s="99"/>
      <c r="E5" s="98">
        <v>55154</v>
      </c>
      <c r="F5" s="96"/>
      <c r="G5" s="96"/>
      <c r="H5" s="96"/>
      <c r="I5" s="96"/>
      <c r="J5" s="96"/>
      <c r="K5" s="96"/>
    </row>
    <row r="6" spans="1:31" ht="16" customHeight="1" thickBot="1" x14ac:dyDescent="0.4">
      <c r="A6" s="100" t="s">
        <v>7</v>
      </c>
      <c r="B6" s="100"/>
      <c r="C6" s="100"/>
      <c r="D6" s="100"/>
      <c r="E6" s="96" t="s">
        <v>30</v>
      </c>
      <c r="F6" s="96"/>
      <c r="G6" s="96"/>
      <c r="H6" s="96"/>
      <c r="I6" s="96"/>
      <c r="J6" s="96"/>
      <c r="K6" s="96"/>
    </row>
    <row r="7" spans="1:31" ht="31" customHeight="1" thickBot="1" x14ac:dyDescent="0.4">
      <c r="A7" s="3" t="s">
        <v>9</v>
      </c>
      <c r="B7" s="11">
        <v>54767</v>
      </c>
      <c r="C7" s="11"/>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row>
    <row r="8" spans="1:31" ht="31" customHeight="1" thickBot="1" x14ac:dyDescent="0.4">
      <c r="A8" s="74" t="s">
        <v>10</v>
      </c>
      <c r="B8" s="76">
        <v>3.173</v>
      </c>
      <c r="C8" s="75"/>
      <c r="D8" s="75"/>
      <c r="E8" s="75"/>
      <c r="F8" s="75"/>
      <c r="G8" s="75"/>
      <c r="H8" s="75"/>
      <c r="I8" s="75"/>
      <c r="J8" s="75"/>
      <c r="K8" s="75"/>
      <c r="L8" s="18"/>
      <c r="M8" s="19"/>
      <c r="N8" s="19"/>
      <c r="O8" s="19"/>
      <c r="P8" s="18"/>
      <c r="Q8" s="19"/>
      <c r="R8" s="19"/>
      <c r="S8" s="19"/>
      <c r="T8" s="19"/>
      <c r="U8" s="19"/>
      <c r="V8" s="19"/>
      <c r="W8" s="35"/>
      <c r="X8" s="35"/>
      <c r="Y8" s="34"/>
      <c r="Z8" s="35"/>
      <c r="AA8" s="35"/>
      <c r="AB8" s="35"/>
      <c r="AC8" s="35"/>
      <c r="AD8" s="35"/>
      <c r="AE8" s="35"/>
    </row>
    <row r="9" spans="1:31" ht="31" customHeight="1" thickBot="1" x14ac:dyDescent="0.4">
      <c r="A9" s="51" t="s">
        <v>11</v>
      </c>
      <c r="B9" s="52">
        <v>56228</v>
      </c>
      <c r="C9" s="52">
        <v>57324</v>
      </c>
      <c r="D9" s="52">
        <v>60976</v>
      </c>
      <c r="E9" s="52"/>
      <c r="F9" s="52"/>
      <c r="G9" s="52"/>
      <c r="H9" s="52"/>
      <c r="I9" s="52"/>
      <c r="J9" s="52"/>
      <c r="K9" s="52"/>
      <c r="L9" s="12"/>
      <c r="M9" s="12"/>
      <c r="N9" s="12"/>
      <c r="O9" s="12"/>
      <c r="P9" s="12"/>
      <c r="Q9" s="12"/>
      <c r="R9" s="12"/>
      <c r="S9" s="12"/>
      <c r="T9" s="12"/>
      <c r="U9" s="12"/>
      <c r="V9" s="12"/>
      <c r="W9" s="12"/>
      <c r="X9" s="12"/>
      <c r="Y9" s="12"/>
      <c r="Z9" s="12"/>
      <c r="AA9" s="12"/>
      <c r="AB9" s="12"/>
      <c r="AC9" s="12"/>
      <c r="AD9" s="12"/>
      <c r="AE9" s="12"/>
    </row>
    <row r="10" spans="1:31" ht="15" thickBot="1" x14ac:dyDescent="0.4">
      <c r="A10" s="1" t="s">
        <v>12</v>
      </c>
      <c r="B10" s="81" t="s">
        <v>13</v>
      </c>
      <c r="C10" s="82"/>
      <c r="D10" s="82"/>
      <c r="E10" s="82"/>
      <c r="F10" s="82"/>
      <c r="G10" s="82"/>
      <c r="H10" s="82"/>
      <c r="I10" s="82"/>
      <c r="J10" s="82"/>
      <c r="K10" s="83"/>
    </row>
    <row r="11" spans="1:31" ht="15" thickBot="1" x14ac:dyDescent="0.4">
      <c r="A11" s="23" t="s">
        <v>31</v>
      </c>
      <c r="B11" s="40">
        <v>3.173</v>
      </c>
      <c r="C11" s="69">
        <f>Table35791117[[#This Row],[Column2]]</f>
        <v>3.173</v>
      </c>
      <c r="D11" s="69">
        <f>Table35791117[[#This Row],[Column3]]</f>
        <v>3.173</v>
      </c>
      <c r="E11" s="41"/>
      <c r="F11" s="24"/>
      <c r="G11" s="24"/>
      <c r="H11" s="24"/>
      <c r="I11" s="24"/>
      <c r="J11" s="24"/>
      <c r="K11" s="24"/>
      <c r="L11" s="24"/>
      <c r="M11" s="24"/>
      <c r="N11" s="24"/>
      <c r="O11" s="24"/>
      <c r="P11" s="24"/>
      <c r="Q11" s="24"/>
      <c r="R11" s="24"/>
      <c r="S11" s="24"/>
      <c r="T11" s="24"/>
      <c r="U11" s="24"/>
      <c r="V11" s="24"/>
      <c r="W11" s="24"/>
      <c r="X11" s="40"/>
      <c r="Y11" s="41"/>
      <c r="Z11" s="41"/>
      <c r="AA11" s="41"/>
      <c r="AB11" s="41"/>
      <c r="AC11" s="41"/>
      <c r="AD11" s="41"/>
      <c r="AE11" s="41"/>
    </row>
    <row r="12" spans="1:31" ht="15" thickBot="1" x14ac:dyDescent="0.4">
      <c r="A12" s="23" t="s">
        <v>14</v>
      </c>
      <c r="B12" s="42"/>
      <c r="C12" s="43">
        <v>3.173</v>
      </c>
      <c r="D12" s="69">
        <f>Table35791117[[#This Row],[Column3]]</f>
        <v>3.173</v>
      </c>
      <c r="E12" s="41"/>
      <c r="F12" s="25"/>
      <c r="G12" s="25"/>
      <c r="H12" s="25"/>
      <c r="I12" s="25"/>
      <c r="J12" s="25"/>
      <c r="K12" s="24"/>
      <c r="L12" s="26"/>
      <c r="M12" s="25"/>
      <c r="N12" s="25"/>
      <c r="O12" s="25"/>
      <c r="P12" s="25"/>
      <c r="Q12" s="25"/>
      <c r="R12" s="25"/>
      <c r="S12" s="25"/>
      <c r="T12" s="25"/>
      <c r="U12" s="25"/>
      <c r="V12" s="25"/>
      <c r="W12" s="25"/>
      <c r="X12" s="42"/>
      <c r="Y12" s="43"/>
      <c r="Z12" s="41"/>
      <c r="AA12" s="41"/>
      <c r="AB12" s="41"/>
      <c r="AC12" s="41"/>
      <c r="AD12" s="41"/>
      <c r="AE12" s="41"/>
    </row>
    <row r="13" spans="1:31" ht="15" thickBot="1" x14ac:dyDescent="0.4">
      <c r="A13" s="23" t="s">
        <v>15</v>
      </c>
      <c r="B13" s="42"/>
      <c r="C13" s="43">
        <v>3.173</v>
      </c>
      <c r="D13" s="69">
        <f>Table35791117[[#This Row],[Column3]]</f>
        <v>3.173</v>
      </c>
      <c r="E13" s="41"/>
      <c r="F13" s="25"/>
      <c r="G13" s="25"/>
      <c r="H13" s="25"/>
      <c r="I13" s="25"/>
      <c r="J13" s="25"/>
      <c r="K13" s="24"/>
      <c r="L13" s="26"/>
      <c r="M13" s="25"/>
      <c r="N13" s="25"/>
      <c r="O13" s="25"/>
      <c r="P13" s="25"/>
      <c r="Q13" s="25"/>
      <c r="R13" s="25"/>
      <c r="S13" s="25"/>
      <c r="T13" s="25"/>
      <c r="U13" s="25"/>
      <c r="V13" s="25"/>
      <c r="W13" s="25"/>
      <c r="X13" s="42"/>
      <c r="Y13" s="43"/>
      <c r="Z13" s="41"/>
      <c r="AA13" s="41"/>
      <c r="AB13" s="41"/>
      <c r="AC13" s="41"/>
      <c r="AD13" s="41"/>
      <c r="AE13" s="41"/>
    </row>
    <row r="14" spans="1:31" ht="15" thickBot="1" x14ac:dyDescent="0.4">
      <c r="A14" s="23" t="s">
        <v>32</v>
      </c>
      <c r="B14" s="42"/>
      <c r="C14" s="43">
        <v>3.173</v>
      </c>
      <c r="D14" s="69">
        <f>Table35791117[[#This Row],[Column3]]</f>
        <v>3.173</v>
      </c>
      <c r="E14" s="41"/>
      <c r="F14" s="25"/>
      <c r="G14" s="25"/>
      <c r="H14" s="25"/>
      <c r="I14" s="25"/>
      <c r="J14" s="25"/>
      <c r="K14" s="24"/>
      <c r="L14" s="26"/>
      <c r="M14" s="25"/>
      <c r="N14" s="25"/>
      <c r="O14" s="25"/>
      <c r="P14" s="25"/>
      <c r="Q14" s="25"/>
      <c r="R14" s="25"/>
      <c r="S14" s="25"/>
      <c r="T14" s="25"/>
      <c r="U14" s="25"/>
      <c r="V14" s="25"/>
      <c r="W14" s="25"/>
      <c r="X14" s="42"/>
      <c r="Y14" s="43"/>
      <c r="Z14" s="41"/>
      <c r="AA14" s="41"/>
      <c r="AB14" s="41"/>
      <c r="AC14" s="41"/>
      <c r="AD14" s="41"/>
      <c r="AE14" s="41"/>
    </row>
    <row r="15" spans="1:31" ht="15" thickBot="1" x14ac:dyDescent="0.4">
      <c r="A15" s="23" t="s">
        <v>33</v>
      </c>
      <c r="B15" s="25"/>
      <c r="C15" s="25"/>
      <c r="D15" s="43">
        <v>3.173</v>
      </c>
      <c r="E15" s="43"/>
      <c r="F15" s="25"/>
      <c r="G15" s="25"/>
      <c r="H15" s="25"/>
      <c r="I15" s="25"/>
      <c r="J15" s="25"/>
      <c r="K15" s="24"/>
      <c r="L15" s="26"/>
      <c r="M15" s="25"/>
      <c r="N15" s="25"/>
      <c r="O15" s="25"/>
      <c r="P15" s="25"/>
      <c r="Q15" s="25"/>
      <c r="R15" s="25"/>
      <c r="S15" s="25"/>
      <c r="T15" s="25"/>
      <c r="U15" s="25"/>
      <c r="V15" s="25"/>
      <c r="W15" s="25"/>
      <c r="X15" s="42"/>
      <c r="Y15" s="43"/>
      <c r="Z15" s="43"/>
      <c r="AA15" s="43"/>
      <c r="AB15" s="43"/>
      <c r="AC15" s="43"/>
      <c r="AD15" s="43"/>
      <c r="AE15" s="43"/>
    </row>
    <row r="16" spans="1:31" ht="15" thickBot="1" x14ac:dyDescent="0.4">
      <c r="A16" s="23" t="s">
        <v>34</v>
      </c>
      <c r="B16" s="25"/>
      <c r="C16" s="25"/>
      <c r="D16" s="43">
        <v>3.173</v>
      </c>
      <c r="E16" s="43"/>
      <c r="F16" s="25"/>
      <c r="G16" s="25"/>
      <c r="H16" s="25"/>
      <c r="I16" s="25"/>
      <c r="J16" s="25"/>
      <c r="K16" s="24"/>
      <c r="L16" s="26"/>
      <c r="M16" s="25"/>
      <c r="N16" s="25"/>
      <c r="O16" s="25"/>
      <c r="P16" s="25"/>
      <c r="Q16" s="25"/>
      <c r="R16" s="25"/>
      <c r="S16" s="25"/>
      <c r="T16" s="25"/>
      <c r="U16" s="25"/>
      <c r="V16" s="25"/>
      <c r="W16" s="25"/>
      <c r="X16" s="42"/>
      <c r="Y16" s="43"/>
      <c r="Z16" s="43"/>
      <c r="AA16" s="43"/>
      <c r="AB16" s="43"/>
      <c r="AC16" s="43"/>
      <c r="AD16" s="43"/>
      <c r="AE16" s="43"/>
    </row>
    <row r="17" spans="1:11" x14ac:dyDescent="0.35">
      <c r="A17"/>
    </row>
    <row r="18" spans="1:11" ht="15" thickBot="1" x14ac:dyDescent="0.4"/>
    <row r="19" spans="1:11" x14ac:dyDescent="0.35">
      <c r="A19" s="87" t="s">
        <v>20</v>
      </c>
      <c r="B19" s="88"/>
      <c r="C19" s="88"/>
      <c r="D19" s="88"/>
      <c r="E19" s="88"/>
      <c r="F19" s="88"/>
      <c r="G19" s="88"/>
      <c r="H19" s="88"/>
      <c r="I19" s="88"/>
      <c r="J19" s="88"/>
      <c r="K19" s="89"/>
    </row>
    <row r="20" spans="1:11" x14ac:dyDescent="0.35">
      <c r="A20" s="90" t="s">
        <v>21</v>
      </c>
      <c r="B20" s="91"/>
      <c r="C20" s="91"/>
      <c r="D20" s="91"/>
      <c r="E20" s="91"/>
      <c r="F20" s="91"/>
      <c r="G20" s="91"/>
      <c r="H20" s="91"/>
      <c r="I20" s="91"/>
      <c r="J20" s="91"/>
      <c r="K20" s="92"/>
    </row>
    <row r="21" spans="1:11" x14ac:dyDescent="0.35">
      <c r="A21" s="90" t="s">
        <v>22</v>
      </c>
      <c r="B21" s="91"/>
      <c r="C21" s="91"/>
      <c r="D21" s="91"/>
      <c r="E21" s="91"/>
      <c r="F21" s="91"/>
      <c r="G21" s="91"/>
      <c r="H21" s="91"/>
      <c r="I21" s="91"/>
      <c r="J21" s="91"/>
      <c r="K21" s="92"/>
    </row>
    <row r="22" spans="1:11" ht="15" thickBot="1" x14ac:dyDescent="0.4">
      <c r="A22" s="84" t="s">
        <v>23</v>
      </c>
      <c r="B22" s="85"/>
      <c r="C22" s="85"/>
      <c r="D22" s="85"/>
      <c r="E22" s="85"/>
      <c r="F22" s="85"/>
      <c r="G22" s="85"/>
      <c r="H22" s="85"/>
      <c r="I22" s="85"/>
      <c r="J22" s="85"/>
      <c r="K22" s="86"/>
    </row>
    <row r="24" spans="1:11" hidden="1" x14ac:dyDescent="0.35">
      <c r="B24">
        <f>IF(SUM(B8,B11:B18)=SUM(A8,A11:A18),0,1)</f>
        <v>1</v>
      </c>
      <c r="C24">
        <f t="shared" ref="C24:K24" si="0">IF(SUM(C8,C11:C18)=SUM(B8,B11:B18),0,1)</f>
        <v>1</v>
      </c>
      <c r="D24">
        <f t="shared" si="0"/>
        <v>1</v>
      </c>
      <c r="E24">
        <f t="shared" si="0"/>
        <v>1</v>
      </c>
      <c r="F24">
        <f t="shared" si="0"/>
        <v>0</v>
      </c>
      <c r="G24">
        <f t="shared" si="0"/>
        <v>0</v>
      </c>
      <c r="H24">
        <f t="shared" si="0"/>
        <v>0</v>
      </c>
      <c r="I24">
        <f t="shared" si="0"/>
        <v>0</v>
      </c>
      <c r="J24">
        <f t="shared" si="0"/>
        <v>0</v>
      </c>
      <c r="K24">
        <f t="shared" si="0"/>
        <v>0</v>
      </c>
    </row>
  </sheetData>
  <mergeCells count="16">
    <mergeCell ref="A4:D4"/>
    <mergeCell ref="E4:K4"/>
    <mergeCell ref="A1:K1"/>
    <mergeCell ref="A2:D2"/>
    <mergeCell ref="E2:K2"/>
    <mergeCell ref="A3:D3"/>
    <mergeCell ref="E3:K3"/>
    <mergeCell ref="A20:K20"/>
    <mergeCell ref="A21:K21"/>
    <mergeCell ref="A22:K22"/>
    <mergeCell ref="A5:D5"/>
    <mergeCell ref="E5:K5"/>
    <mergeCell ref="A6:D6"/>
    <mergeCell ref="E6:K6"/>
    <mergeCell ref="B10:K10"/>
    <mergeCell ref="A19:K19"/>
  </mergeCells>
  <conditionalFormatting sqref="C7:AE7">
    <cfRule type="containsText" dxfId="916" priority="3" operator="containsText" text="10/12/xxxx">
      <formula>NOT(ISERROR(SEARCH("10/12/xxxx",C7)))</formula>
    </cfRule>
  </conditionalFormatting>
  <conditionalFormatting sqref="B9:AE9">
    <cfRule type="containsText" dxfId="915" priority="2" operator="containsText" text="xx/xx/xxxx">
      <formula>NOT(ISERROR(SEARCH("xx/xx/xxxx",B9)))</formula>
    </cfRule>
  </conditionalFormatting>
  <conditionalFormatting sqref="B7">
    <cfRule type="containsText" dxfId="914" priority="1" operator="containsText" text="10/12/xxxx">
      <formula>NOT(ISERROR(SEARCH("10/12/xxxx",B7)))</formula>
    </cfRule>
  </conditionalFormatting>
  <dataValidations count="4">
    <dataValidation allowBlank="1" showInputMessage="1" showErrorMessage="1" prompt="Please input the correct Rehabilitation Area number (RA#)" sqref="E2:K2" xr:uid="{34F8A551-8025-455D-87D4-BA230252EA98}"/>
    <dataValidation allowBlank="1" showInputMessage="1" showErrorMessage="1" promptTitle="Insert Area (ha)" prompt="Please insert the cumulative area available in hectares (ha)" sqref="C8:K8" xr:uid="{54D4FDC9-352C-41F9-8D90-BAA7DF832EC4}"/>
    <dataValidation allowBlank="1" showInputMessage="1" showErrorMessage="1" promptTitle="Insert Date" prompt="Please insert the data the milestone is to be completed by" sqref="B9:AE9" xr:uid="{964196B0-F157-42FB-81CB-D49787F41AEC}"/>
    <dataValidation allowBlank="1" showInputMessage="1" showErrorMessage="1" promptTitle="Insert Date" prompt="Please insert the date the area is available for rehabilitation" sqref="B7:AE7" xr:uid="{CA0C133C-A364-4E5B-A49A-84410223AB49}"/>
  </dataValidations>
  <pageMargins left="0.7" right="0.7" top="0.75" bottom="0.75" header="0.3" footer="0.3"/>
  <pageSetup paperSize="9" orientation="portrait"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30B2E-550B-49AC-A89E-890FB55C37B5}">
  <dimension ref="A1:AG24"/>
  <sheetViews>
    <sheetView zoomScale="70" zoomScaleNormal="70" workbookViewId="0">
      <selection activeCell="E5" sqref="E5:K5"/>
    </sheetView>
  </sheetViews>
  <sheetFormatPr defaultColWidth="12.1796875" defaultRowHeight="14.5" x14ac:dyDescent="0.35"/>
  <cols>
    <col min="1" max="1" width="36.81640625" style="2" bestFit="1" customWidth="1"/>
    <col min="12" max="33" width="12.1796875" hidden="1" customWidth="1"/>
    <col min="34" max="40" width="0" hidden="1" customWidth="1"/>
  </cols>
  <sheetData>
    <row r="1" spans="1:32" ht="23.25" customHeight="1" thickBot="1" x14ac:dyDescent="0.5">
      <c r="A1" s="93" t="s">
        <v>0</v>
      </c>
      <c r="B1" s="94"/>
      <c r="C1" s="94"/>
      <c r="D1" s="94"/>
      <c r="E1" s="94"/>
      <c r="F1" s="94"/>
      <c r="G1" s="94"/>
      <c r="H1" s="94"/>
      <c r="I1" s="94"/>
      <c r="J1" s="94"/>
      <c r="K1" s="95"/>
    </row>
    <row r="2" spans="1:32" ht="16" customHeight="1" thickBot="1" x14ac:dyDescent="0.4">
      <c r="A2" s="100" t="s">
        <v>1</v>
      </c>
      <c r="B2" s="100"/>
      <c r="C2" s="100"/>
      <c r="D2" s="100"/>
      <c r="E2" s="96" t="s">
        <v>40</v>
      </c>
      <c r="F2" s="96"/>
      <c r="G2" s="96"/>
      <c r="H2" s="96"/>
      <c r="I2" s="96"/>
      <c r="J2" s="96"/>
      <c r="K2" s="96"/>
    </row>
    <row r="3" spans="1:32" ht="16" customHeight="1" thickBot="1" x14ac:dyDescent="0.4">
      <c r="A3" s="100" t="s">
        <v>3</v>
      </c>
      <c r="B3" s="100"/>
      <c r="C3" s="100"/>
      <c r="D3" s="100"/>
      <c r="E3" s="96" t="s">
        <v>41</v>
      </c>
      <c r="F3" s="96"/>
      <c r="G3" s="96"/>
      <c r="H3" s="96"/>
      <c r="I3" s="96"/>
      <c r="J3" s="96"/>
      <c r="K3" s="96"/>
    </row>
    <row r="4" spans="1:32" ht="16" customHeight="1" thickBot="1" x14ac:dyDescent="0.4">
      <c r="A4" s="100" t="s">
        <v>5</v>
      </c>
      <c r="B4" s="100"/>
      <c r="C4" s="100"/>
      <c r="D4" s="100"/>
      <c r="E4" s="101">
        <v>8.0579999999999998</v>
      </c>
      <c r="F4" s="101"/>
      <c r="G4" s="101"/>
      <c r="H4" s="101"/>
      <c r="I4" s="101"/>
      <c r="J4" s="101"/>
      <c r="K4" s="101"/>
    </row>
    <row r="5" spans="1:32" ht="32.15" customHeight="1" thickBot="1" x14ac:dyDescent="0.4">
      <c r="A5" s="99" t="s">
        <v>37</v>
      </c>
      <c r="B5" s="99"/>
      <c r="C5" s="99"/>
      <c r="D5" s="99"/>
      <c r="E5" s="98">
        <v>55154</v>
      </c>
      <c r="F5" s="96"/>
      <c r="G5" s="96"/>
      <c r="H5" s="96"/>
      <c r="I5" s="96"/>
      <c r="J5" s="96"/>
      <c r="K5" s="96"/>
    </row>
    <row r="6" spans="1:32" ht="16" customHeight="1" thickBot="1" x14ac:dyDescent="0.4">
      <c r="A6" s="100" t="s">
        <v>7</v>
      </c>
      <c r="B6" s="100"/>
      <c r="C6" s="100"/>
      <c r="D6" s="100"/>
      <c r="E6" s="96" t="s">
        <v>30</v>
      </c>
      <c r="F6" s="96"/>
      <c r="G6" s="96"/>
      <c r="H6" s="96"/>
      <c r="I6" s="96"/>
      <c r="J6" s="96"/>
      <c r="K6" s="96"/>
    </row>
    <row r="7" spans="1:32" ht="31" customHeight="1" thickBot="1" x14ac:dyDescent="0.4">
      <c r="A7" s="3" t="s">
        <v>9</v>
      </c>
      <c r="B7" s="11">
        <v>54767</v>
      </c>
      <c r="C7" s="11"/>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row>
    <row r="8" spans="1:32" ht="31" customHeight="1" thickBot="1" x14ac:dyDescent="0.4">
      <c r="A8" s="74" t="s">
        <v>10</v>
      </c>
      <c r="B8" s="76">
        <v>8.0579999999999998</v>
      </c>
      <c r="C8" s="75"/>
      <c r="D8" s="75"/>
      <c r="E8" s="75"/>
      <c r="F8" s="75"/>
      <c r="G8" s="75"/>
      <c r="H8" s="75"/>
      <c r="I8" s="75"/>
      <c r="J8" s="75"/>
      <c r="K8" s="75"/>
      <c r="L8" s="18"/>
      <c r="M8" s="19"/>
      <c r="N8" s="19"/>
      <c r="O8" s="19"/>
      <c r="P8" s="18"/>
      <c r="Q8" s="19"/>
      <c r="R8" s="19"/>
      <c r="S8" s="19"/>
      <c r="T8" s="19"/>
      <c r="U8" s="19"/>
      <c r="V8" s="19"/>
      <c r="W8" s="35"/>
      <c r="X8" s="35"/>
      <c r="Y8" s="35"/>
      <c r="Z8" s="35"/>
      <c r="AA8" s="35"/>
      <c r="AB8" s="35"/>
      <c r="AC8" s="35"/>
      <c r="AD8" s="35"/>
      <c r="AE8" s="35"/>
      <c r="AF8" s="35"/>
    </row>
    <row r="9" spans="1:32" ht="31" customHeight="1" thickBot="1" x14ac:dyDescent="0.4">
      <c r="A9" s="51" t="s">
        <v>11</v>
      </c>
      <c r="B9" s="52">
        <v>56228</v>
      </c>
      <c r="C9" s="52">
        <v>57324</v>
      </c>
      <c r="D9" s="52">
        <v>60976</v>
      </c>
      <c r="E9" s="52"/>
      <c r="F9" s="52"/>
      <c r="G9" s="52"/>
      <c r="H9" s="52"/>
      <c r="I9" s="52"/>
      <c r="J9" s="52"/>
      <c r="K9" s="52"/>
      <c r="L9" s="12"/>
      <c r="M9" s="12"/>
      <c r="N9" s="12"/>
      <c r="O9" s="12"/>
      <c r="P9" s="12"/>
      <c r="Q9" s="12"/>
      <c r="R9" s="12"/>
      <c r="S9" s="12"/>
      <c r="T9" s="12"/>
      <c r="U9" s="12"/>
      <c r="V9" s="12"/>
      <c r="W9" s="12"/>
      <c r="X9" s="12"/>
      <c r="Y9" s="12"/>
      <c r="Z9" s="12"/>
      <c r="AA9" s="12"/>
      <c r="AB9" s="12"/>
      <c r="AC9" s="12"/>
      <c r="AD9" s="12"/>
      <c r="AE9" s="12"/>
      <c r="AF9" s="12"/>
    </row>
    <row r="10" spans="1:32" ht="15" thickBot="1" x14ac:dyDescent="0.4">
      <c r="A10" s="1" t="s">
        <v>12</v>
      </c>
      <c r="B10" s="81" t="s">
        <v>13</v>
      </c>
      <c r="C10" s="82"/>
      <c r="D10" s="82"/>
      <c r="E10" s="82"/>
      <c r="F10" s="82"/>
      <c r="G10" s="82"/>
      <c r="H10" s="82"/>
      <c r="I10" s="82"/>
      <c r="J10" s="82"/>
      <c r="K10" s="83"/>
    </row>
    <row r="11" spans="1:32" ht="15" thickBot="1" x14ac:dyDescent="0.4">
      <c r="A11" s="23" t="s">
        <v>31</v>
      </c>
      <c r="B11" s="40">
        <v>8.0579999999999998</v>
      </c>
      <c r="C11" s="70">
        <f>Table3579111719[[#This Row],[Column2]]</f>
        <v>8.0579999999999998</v>
      </c>
      <c r="D11" s="70">
        <f>Table3579111719[[#This Row],[Column3]]</f>
        <v>8.0579999999999998</v>
      </c>
      <c r="E11" s="40"/>
      <c r="F11" s="27"/>
      <c r="G11" s="27"/>
      <c r="H11" s="27"/>
      <c r="I11" s="27"/>
      <c r="J11" s="27"/>
      <c r="K11" s="27"/>
      <c r="L11" s="27"/>
      <c r="M11" s="27"/>
      <c r="N11" s="27"/>
      <c r="O11" s="27"/>
      <c r="P11" s="27"/>
      <c r="Q11" s="27"/>
      <c r="R11" s="27"/>
      <c r="S11" s="27"/>
      <c r="T11" s="27"/>
      <c r="U11" s="27"/>
      <c r="V11" s="27"/>
      <c r="W11" s="27"/>
      <c r="X11" s="27"/>
      <c r="Y11" s="40"/>
      <c r="Z11" s="40"/>
      <c r="AA11" s="40"/>
      <c r="AB11" s="40"/>
      <c r="AC11" s="40"/>
      <c r="AD11" s="40"/>
      <c r="AE11" s="40"/>
      <c r="AF11" s="40"/>
    </row>
    <row r="12" spans="1:32" ht="15" thickBot="1" x14ac:dyDescent="0.4">
      <c r="A12" s="23" t="s">
        <v>14</v>
      </c>
      <c r="B12" s="42"/>
      <c r="C12" s="42">
        <v>8.0579999999999998</v>
      </c>
      <c r="D12" s="71">
        <f>Table3579111719[[#This Row],[Column3]]</f>
        <v>8.0579999999999998</v>
      </c>
      <c r="E12" s="42"/>
      <c r="F12" s="28"/>
      <c r="G12" s="28"/>
      <c r="H12" s="28"/>
      <c r="I12" s="28"/>
      <c r="J12" s="28"/>
      <c r="K12" s="27"/>
      <c r="L12" s="29"/>
      <c r="M12" s="28"/>
      <c r="N12" s="28"/>
      <c r="O12" s="28"/>
      <c r="P12" s="28"/>
      <c r="Q12" s="28"/>
      <c r="R12" s="28"/>
      <c r="S12" s="28"/>
      <c r="T12" s="28"/>
      <c r="U12" s="28"/>
      <c r="V12" s="28"/>
      <c r="W12" s="28"/>
      <c r="X12" s="28"/>
      <c r="Y12" s="42"/>
      <c r="Z12" s="42"/>
      <c r="AA12" s="42"/>
      <c r="AB12" s="42"/>
      <c r="AC12" s="42"/>
      <c r="AD12" s="42"/>
      <c r="AE12" s="42"/>
      <c r="AF12" s="42"/>
    </row>
    <row r="13" spans="1:32" ht="15" thickBot="1" x14ac:dyDescent="0.4">
      <c r="A13" s="23" t="s">
        <v>15</v>
      </c>
      <c r="B13" s="42"/>
      <c r="C13" s="42">
        <v>8.0579999999999998</v>
      </c>
      <c r="D13" s="71">
        <f>Table3579111719[[#This Row],[Column3]]</f>
        <v>8.0579999999999998</v>
      </c>
      <c r="E13" s="42"/>
      <c r="F13" s="28"/>
      <c r="G13" s="28"/>
      <c r="H13" s="28"/>
      <c r="I13" s="28"/>
      <c r="J13" s="28"/>
      <c r="K13" s="27"/>
      <c r="L13" s="29"/>
      <c r="M13" s="28"/>
      <c r="N13" s="28"/>
      <c r="O13" s="28"/>
      <c r="P13" s="28"/>
      <c r="Q13" s="28"/>
      <c r="R13" s="28"/>
      <c r="S13" s="28"/>
      <c r="T13" s="28"/>
      <c r="U13" s="28"/>
      <c r="V13" s="28"/>
      <c r="W13" s="28"/>
      <c r="X13" s="28"/>
      <c r="Y13" s="42"/>
      <c r="Z13" s="42"/>
      <c r="AA13" s="42"/>
      <c r="AB13" s="42"/>
      <c r="AC13" s="42"/>
      <c r="AD13" s="42"/>
      <c r="AE13" s="42"/>
      <c r="AF13" s="42"/>
    </row>
    <row r="14" spans="1:32" ht="15" thickBot="1" x14ac:dyDescent="0.4">
      <c r="A14" s="23" t="s">
        <v>32</v>
      </c>
      <c r="B14" s="42"/>
      <c r="C14" s="42">
        <v>8.0579999999999998</v>
      </c>
      <c r="D14" s="71">
        <f>Table3579111719[[#This Row],[Column3]]</f>
        <v>8.0579999999999998</v>
      </c>
      <c r="E14" s="42"/>
      <c r="F14" s="28"/>
      <c r="G14" s="28"/>
      <c r="H14" s="28"/>
      <c r="I14" s="28"/>
      <c r="J14" s="28"/>
      <c r="K14" s="27"/>
      <c r="L14" s="29"/>
      <c r="M14" s="28"/>
      <c r="N14" s="28"/>
      <c r="O14" s="28"/>
      <c r="P14" s="28"/>
      <c r="Q14" s="28"/>
      <c r="R14" s="28"/>
      <c r="S14" s="28"/>
      <c r="T14" s="28"/>
      <c r="U14" s="28"/>
      <c r="V14" s="28"/>
      <c r="W14" s="28"/>
      <c r="X14" s="28"/>
      <c r="Y14" s="42"/>
      <c r="Z14" s="42"/>
      <c r="AA14" s="42"/>
      <c r="AB14" s="42"/>
      <c r="AC14" s="42"/>
      <c r="AD14" s="42"/>
      <c r="AE14" s="42"/>
      <c r="AF14" s="42"/>
    </row>
    <row r="15" spans="1:32" ht="15" thickBot="1" x14ac:dyDescent="0.4">
      <c r="A15" s="23" t="s">
        <v>33</v>
      </c>
      <c r="B15" s="28"/>
      <c r="C15" s="28"/>
      <c r="D15" s="42">
        <v>8.0579999999999998</v>
      </c>
      <c r="E15" s="42"/>
      <c r="F15" s="28"/>
      <c r="G15" s="28"/>
      <c r="H15" s="28"/>
      <c r="I15" s="28"/>
      <c r="J15" s="28"/>
      <c r="K15" s="27"/>
      <c r="L15" s="29"/>
      <c r="M15" s="28"/>
      <c r="N15" s="28"/>
      <c r="O15" s="28"/>
      <c r="P15" s="28"/>
      <c r="Q15" s="28"/>
      <c r="R15" s="28"/>
      <c r="S15" s="28"/>
      <c r="T15" s="28"/>
      <c r="U15" s="28"/>
      <c r="V15" s="28"/>
      <c r="W15" s="28"/>
      <c r="X15" s="28"/>
      <c r="Y15" s="42"/>
      <c r="Z15" s="42"/>
      <c r="AA15" s="42"/>
      <c r="AB15" s="42"/>
      <c r="AC15" s="42"/>
      <c r="AD15" s="42"/>
      <c r="AE15" s="42"/>
      <c r="AF15" s="42"/>
    </row>
    <row r="16" spans="1:32" ht="15" thickBot="1" x14ac:dyDescent="0.4">
      <c r="A16" s="23" t="s">
        <v>34</v>
      </c>
      <c r="B16" s="28"/>
      <c r="C16" s="28"/>
      <c r="D16" s="42">
        <v>8.0579999999999998</v>
      </c>
      <c r="E16" s="42"/>
      <c r="F16" s="28"/>
      <c r="G16" s="28"/>
      <c r="H16" s="28"/>
      <c r="I16" s="28"/>
      <c r="J16" s="28"/>
      <c r="K16" s="27"/>
      <c r="L16" s="29"/>
      <c r="M16" s="28"/>
      <c r="N16" s="28"/>
      <c r="O16" s="28"/>
      <c r="P16" s="28"/>
      <c r="Q16" s="28"/>
      <c r="R16" s="28"/>
      <c r="S16" s="28"/>
      <c r="T16" s="28"/>
      <c r="U16" s="28"/>
      <c r="V16" s="28"/>
      <c r="W16" s="28"/>
      <c r="X16" s="28"/>
      <c r="Y16" s="42"/>
      <c r="Z16" s="42"/>
      <c r="AA16" s="42"/>
      <c r="AB16" s="42"/>
      <c r="AC16" s="40"/>
      <c r="AD16" s="42"/>
      <c r="AE16" s="42"/>
      <c r="AF16" s="42"/>
    </row>
    <row r="17" spans="1:11" x14ac:dyDescent="0.35">
      <c r="A17"/>
    </row>
    <row r="19" spans="1:11" x14ac:dyDescent="0.35">
      <c r="A19" s="87" t="s">
        <v>20</v>
      </c>
      <c r="B19" s="88"/>
      <c r="C19" s="88"/>
      <c r="D19" s="88"/>
      <c r="E19" s="88"/>
      <c r="F19" s="88"/>
      <c r="G19" s="88"/>
      <c r="H19" s="88"/>
      <c r="I19" s="88"/>
      <c r="J19" s="88"/>
      <c r="K19" s="89"/>
    </row>
    <row r="20" spans="1:11" x14ac:dyDescent="0.35">
      <c r="A20" s="90" t="s">
        <v>21</v>
      </c>
      <c r="B20" s="91"/>
      <c r="C20" s="91"/>
      <c r="D20" s="91"/>
      <c r="E20" s="91"/>
      <c r="F20" s="91"/>
      <c r="G20" s="91"/>
      <c r="H20" s="91"/>
      <c r="I20" s="91"/>
      <c r="J20" s="91"/>
      <c r="K20" s="92"/>
    </row>
    <row r="21" spans="1:11" x14ac:dyDescent="0.35">
      <c r="A21" s="90" t="s">
        <v>22</v>
      </c>
      <c r="B21" s="91"/>
      <c r="C21" s="91"/>
      <c r="D21" s="91"/>
      <c r="E21" s="91"/>
      <c r="F21" s="91"/>
      <c r="G21" s="91"/>
      <c r="H21" s="91"/>
      <c r="I21" s="91"/>
      <c r="J21" s="91"/>
      <c r="K21" s="92"/>
    </row>
    <row r="22" spans="1:11" x14ac:dyDescent="0.35">
      <c r="A22" s="84" t="s">
        <v>23</v>
      </c>
      <c r="B22" s="85"/>
      <c r="C22" s="85"/>
      <c r="D22" s="85"/>
      <c r="E22" s="85"/>
      <c r="F22" s="85"/>
      <c r="G22" s="85"/>
      <c r="H22" s="85"/>
      <c r="I22" s="85"/>
      <c r="J22" s="85"/>
      <c r="K22" s="86"/>
    </row>
    <row r="24" spans="1:11" hidden="1" x14ac:dyDescent="0.35">
      <c r="B24">
        <f>IF(SUM(B8,B11:B18)=SUM(A8,A11:A18),0,1)</f>
        <v>1</v>
      </c>
      <c r="C24">
        <f t="shared" ref="C24:K24" si="0">IF(SUM(C8,C11:C18)=SUM(B8,B11:B18),0,1)</f>
        <v>1</v>
      </c>
      <c r="D24">
        <f t="shared" si="0"/>
        <v>1</v>
      </c>
      <c r="E24">
        <f t="shared" si="0"/>
        <v>1</v>
      </c>
      <c r="F24">
        <f t="shared" si="0"/>
        <v>0</v>
      </c>
      <c r="G24">
        <f t="shared" si="0"/>
        <v>0</v>
      </c>
      <c r="H24">
        <f t="shared" si="0"/>
        <v>0</v>
      </c>
      <c r="I24">
        <f t="shared" si="0"/>
        <v>0</v>
      </c>
      <c r="J24">
        <f t="shared" si="0"/>
        <v>0</v>
      </c>
      <c r="K24">
        <f t="shared" si="0"/>
        <v>0</v>
      </c>
    </row>
  </sheetData>
  <mergeCells count="16">
    <mergeCell ref="A4:D4"/>
    <mergeCell ref="E4:K4"/>
    <mergeCell ref="A1:K1"/>
    <mergeCell ref="A2:D2"/>
    <mergeCell ref="E2:K2"/>
    <mergeCell ref="A3:D3"/>
    <mergeCell ref="E3:K3"/>
    <mergeCell ref="A20:K20"/>
    <mergeCell ref="A21:K21"/>
    <mergeCell ref="A22:K22"/>
    <mergeCell ref="A5:D5"/>
    <mergeCell ref="E5:K5"/>
    <mergeCell ref="A6:D6"/>
    <mergeCell ref="E6:K6"/>
    <mergeCell ref="B10:K10"/>
    <mergeCell ref="A19:K19"/>
  </mergeCells>
  <conditionalFormatting sqref="C7:AF7">
    <cfRule type="containsText" dxfId="781" priority="3" operator="containsText" text="10/12/xxxx">
      <formula>NOT(ISERROR(SEARCH("10/12/xxxx",C7)))</formula>
    </cfRule>
  </conditionalFormatting>
  <conditionalFormatting sqref="B9:AF9">
    <cfRule type="containsText" dxfId="780" priority="2" operator="containsText" text="xx/xx/xxxx">
      <formula>NOT(ISERROR(SEARCH("xx/xx/xxxx",B9)))</formula>
    </cfRule>
  </conditionalFormatting>
  <conditionalFormatting sqref="B7">
    <cfRule type="containsText" dxfId="779" priority="1" operator="containsText" text="10/12/xxxx">
      <formula>NOT(ISERROR(SEARCH("10/12/xxxx",B7)))</formula>
    </cfRule>
  </conditionalFormatting>
  <dataValidations count="4">
    <dataValidation allowBlank="1" showInputMessage="1" showErrorMessage="1" promptTitle="Insert Date" prompt="Please insert the date the area is available for rehabilitation" sqref="B7:AF7" xr:uid="{D0B0B340-6134-4099-9465-ABA9A89FB9ED}"/>
    <dataValidation allowBlank="1" showInputMessage="1" showErrorMessage="1" promptTitle="Insert Date" prompt="Please insert the data the milestone is to be completed by" sqref="B9:AF9" xr:uid="{970480BB-211A-4063-9055-B79BF16B5275}"/>
    <dataValidation allowBlank="1" showInputMessage="1" showErrorMessage="1" promptTitle="Insert Area (ha)" prompt="Please insert the cumulative area available in hectares (ha)" sqref="C8:K8" xr:uid="{EEBD4D48-147E-4823-BB71-4899D2F0071A}"/>
    <dataValidation allowBlank="1" showInputMessage="1" showErrorMessage="1" prompt="Please input the correct Rehabilitation Area number (RA#)" sqref="E2:K2" xr:uid="{90826FFE-31FD-476B-A5FB-778C5C7B1968}"/>
  </dataValidations>
  <pageMargins left="0.7" right="0.7" top="0.75" bottom="0.75" header="0.3" footer="0.3"/>
  <pageSetup paperSize="9" orientation="portrait"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9789D-3226-4CBE-8CF1-658338CD0FF7}">
  <dimension ref="A1:AF25"/>
  <sheetViews>
    <sheetView zoomScale="70" zoomScaleNormal="70" workbookViewId="0">
      <selection activeCell="E5" sqref="E5:K5"/>
    </sheetView>
  </sheetViews>
  <sheetFormatPr defaultColWidth="12.1796875" defaultRowHeight="14.5" x14ac:dyDescent="0.35"/>
  <cols>
    <col min="1" max="1" width="36.81640625" style="2" bestFit="1" customWidth="1"/>
    <col min="12" max="32" width="12.1796875" hidden="1" customWidth="1"/>
    <col min="33" max="40" width="0" hidden="1" customWidth="1"/>
  </cols>
  <sheetData>
    <row r="1" spans="1:32" ht="23.25" customHeight="1" thickBot="1" x14ac:dyDescent="0.5">
      <c r="A1" s="93" t="s">
        <v>0</v>
      </c>
      <c r="B1" s="94"/>
      <c r="C1" s="94"/>
      <c r="D1" s="94"/>
      <c r="E1" s="94"/>
      <c r="F1" s="94"/>
      <c r="G1" s="94"/>
      <c r="H1" s="94"/>
      <c r="I1" s="94"/>
      <c r="J1" s="94"/>
      <c r="K1" s="95"/>
    </row>
    <row r="2" spans="1:32" ht="16" customHeight="1" thickBot="1" x14ac:dyDescent="0.4">
      <c r="A2" s="100" t="s">
        <v>1</v>
      </c>
      <c r="B2" s="100"/>
      <c r="C2" s="100"/>
      <c r="D2" s="100"/>
      <c r="E2" s="96" t="s">
        <v>42</v>
      </c>
      <c r="F2" s="96"/>
      <c r="G2" s="96"/>
      <c r="H2" s="96"/>
      <c r="I2" s="96"/>
      <c r="J2" s="96"/>
      <c r="K2" s="96"/>
    </row>
    <row r="3" spans="1:32" ht="16" customHeight="1" thickBot="1" x14ac:dyDescent="0.4">
      <c r="A3" s="100" t="s">
        <v>3</v>
      </c>
      <c r="B3" s="100"/>
      <c r="C3" s="100"/>
      <c r="D3" s="100"/>
      <c r="E3" s="96" t="s">
        <v>43</v>
      </c>
      <c r="F3" s="96"/>
      <c r="G3" s="96"/>
      <c r="H3" s="96"/>
      <c r="I3" s="96"/>
      <c r="J3" s="96"/>
      <c r="K3" s="96"/>
    </row>
    <row r="4" spans="1:32" ht="16" customHeight="1" thickBot="1" x14ac:dyDescent="0.4">
      <c r="A4" s="100" t="s">
        <v>5</v>
      </c>
      <c r="B4" s="100"/>
      <c r="C4" s="100"/>
      <c r="D4" s="100"/>
      <c r="E4" s="97">
        <v>313.94499999999999</v>
      </c>
      <c r="F4" s="97"/>
      <c r="G4" s="97"/>
      <c r="H4" s="97"/>
      <c r="I4" s="97"/>
      <c r="J4" s="97"/>
      <c r="K4" s="97"/>
    </row>
    <row r="5" spans="1:32" ht="32.15" customHeight="1" thickBot="1" x14ac:dyDescent="0.4">
      <c r="A5" s="99" t="s">
        <v>37</v>
      </c>
      <c r="B5" s="99"/>
      <c r="C5" s="99"/>
      <c r="D5" s="99"/>
      <c r="E5" s="115">
        <v>54424</v>
      </c>
      <c r="F5" s="112"/>
      <c r="G5" s="112"/>
      <c r="H5" s="112"/>
      <c r="I5" s="112"/>
      <c r="J5" s="112"/>
      <c r="K5" s="112"/>
    </row>
    <row r="6" spans="1:32" ht="16" customHeight="1" thickBot="1" x14ac:dyDescent="0.4">
      <c r="A6" s="100" t="s">
        <v>7</v>
      </c>
      <c r="B6" s="100"/>
      <c r="C6" s="100"/>
      <c r="D6" s="100"/>
      <c r="E6" s="96" t="str">
        <f>'RA7-Mine Infrastructure Area'!E6:K6</f>
        <v>Low Intensity Grazing</v>
      </c>
      <c r="F6" s="96"/>
      <c r="G6" s="96"/>
      <c r="H6" s="96"/>
      <c r="I6" s="96"/>
      <c r="J6" s="96"/>
      <c r="K6" s="96"/>
    </row>
    <row r="7" spans="1:32" ht="31" customHeight="1" thickBot="1" x14ac:dyDescent="0.4">
      <c r="A7" s="3" t="s">
        <v>9</v>
      </c>
      <c r="B7" s="11">
        <v>54036</v>
      </c>
      <c r="C7" s="11">
        <v>54767</v>
      </c>
      <c r="D7" s="11">
        <v>55497</v>
      </c>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row>
    <row r="8" spans="1:32" ht="31" customHeight="1" thickBot="1" x14ac:dyDescent="0.4">
      <c r="A8" s="74" t="s">
        <v>10</v>
      </c>
      <c r="B8" s="75">
        <v>72.989999999999995</v>
      </c>
      <c r="C8" s="75">
        <v>80.081999999999994</v>
      </c>
      <c r="D8" s="75">
        <v>313.94499999999999</v>
      </c>
      <c r="E8" s="75"/>
      <c r="F8" s="75"/>
      <c r="G8" s="75"/>
      <c r="H8" s="75"/>
      <c r="I8" s="75"/>
      <c r="J8" s="75"/>
      <c r="K8" s="75"/>
      <c r="L8" s="18"/>
      <c r="M8" s="19"/>
      <c r="N8" s="19"/>
      <c r="O8" s="19"/>
      <c r="P8" s="18"/>
      <c r="Q8" s="19"/>
      <c r="R8" s="19"/>
      <c r="S8" s="19"/>
      <c r="T8" s="19"/>
      <c r="U8" s="19"/>
      <c r="V8" s="19"/>
      <c r="W8" s="19"/>
      <c r="X8" s="19"/>
      <c r="Y8" s="19"/>
      <c r="Z8" s="19"/>
      <c r="AA8" s="19"/>
      <c r="AB8" s="19"/>
      <c r="AC8" s="19"/>
      <c r="AD8" s="19"/>
      <c r="AE8" s="19"/>
      <c r="AF8" s="19"/>
    </row>
    <row r="9" spans="1:32" ht="31" customHeight="1" thickBot="1" x14ac:dyDescent="0.4">
      <c r="A9" s="51" t="s">
        <v>11</v>
      </c>
      <c r="B9" s="52">
        <v>55497</v>
      </c>
      <c r="C9" s="52">
        <v>56228</v>
      </c>
      <c r="D9" s="52">
        <v>56958</v>
      </c>
      <c r="E9" s="52">
        <v>57324</v>
      </c>
      <c r="F9" s="52">
        <v>57689</v>
      </c>
      <c r="G9" s="52">
        <v>24816</v>
      </c>
      <c r="H9" s="52"/>
      <c r="I9" s="52"/>
      <c r="J9" s="52"/>
      <c r="K9" s="52"/>
      <c r="L9" s="12"/>
      <c r="M9" s="12"/>
      <c r="N9" s="12"/>
      <c r="O9" s="12"/>
      <c r="P9" s="12"/>
      <c r="Q9" s="12"/>
      <c r="R9" s="12"/>
      <c r="S9" s="12"/>
      <c r="T9" s="12"/>
      <c r="U9" s="12"/>
      <c r="V9" s="12"/>
      <c r="W9" s="12"/>
      <c r="X9" s="12"/>
      <c r="Y9" s="12"/>
      <c r="Z9" s="12"/>
      <c r="AA9" s="12"/>
      <c r="AB9" s="12"/>
      <c r="AC9" s="12"/>
      <c r="AD9" s="12"/>
      <c r="AE9" s="12"/>
      <c r="AF9" s="12"/>
    </row>
    <row r="10" spans="1:32" ht="15" thickBot="1" x14ac:dyDescent="0.4">
      <c r="A10" s="1" t="s">
        <v>12</v>
      </c>
      <c r="B10" s="81" t="s">
        <v>13</v>
      </c>
      <c r="C10" s="82"/>
      <c r="D10" s="82"/>
      <c r="E10" s="82"/>
      <c r="F10" s="82"/>
      <c r="G10" s="82"/>
      <c r="H10" s="82"/>
      <c r="I10" s="82"/>
      <c r="J10" s="82"/>
      <c r="K10" s="83"/>
    </row>
    <row r="11" spans="1:32" ht="15" thickBot="1" x14ac:dyDescent="0.4">
      <c r="A11" s="23" t="s">
        <v>31</v>
      </c>
      <c r="B11" s="39">
        <v>72.989999999999995</v>
      </c>
      <c r="C11" s="39">
        <v>80.081999999999994</v>
      </c>
      <c r="D11" s="39">
        <v>314</v>
      </c>
      <c r="E11" s="68">
        <f>Table357911171921[[#This Row],[Column4]]</f>
        <v>314</v>
      </c>
      <c r="F11" s="68">
        <f>Table357911171921[[#This Row],[Column5]]</f>
        <v>314</v>
      </c>
      <c r="G11" s="68">
        <f>Table357911171921[[#This Row],[Column6]]</f>
        <v>314</v>
      </c>
      <c r="H11" s="39"/>
      <c r="I11" s="39"/>
      <c r="J11" s="39"/>
      <c r="K11" s="39"/>
      <c r="L11" s="17"/>
      <c r="M11" s="17"/>
      <c r="N11" s="17"/>
      <c r="O11" s="17"/>
      <c r="P11" s="17"/>
      <c r="Q11" s="17"/>
      <c r="R11" s="17"/>
      <c r="S11" s="17"/>
      <c r="T11" s="17"/>
      <c r="U11" s="17"/>
      <c r="V11" s="39"/>
      <c r="W11" s="39"/>
      <c r="X11" s="39"/>
      <c r="Y11" s="39"/>
      <c r="Z11" s="39"/>
      <c r="AA11" s="39"/>
      <c r="AB11" s="39"/>
      <c r="AC11" s="39"/>
      <c r="AD11" s="39"/>
      <c r="AE11" s="39"/>
      <c r="AF11" s="39"/>
    </row>
    <row r="12" spans="1:32" ht="15" thickBot="1" x14ac:dyDescent="0.4">
      <c r="A12" s="23" t="s">
        <v>14</v>
      </c>
      <c r="B12" s="13"/>
      <c r="C12" s="30"/>
      <c r="D12" s="30">
        <v>73</v>
      </c>
      <c r="E12" s="30">
        <v>80</v>
      </c>
      <c r="F12" s="30">
        <v>314</v>
      </c>
      <c r="G12" s="66">
        <f>Table357911171921[[#This Row],[Column6]]</f>
        <v>314</v>
      </c>
      <c r="H12" s="30"/>
      <c r="I12" s="30"/>
      <c r="J12" s="30"/>
      <c r="K12" s="30"/>
      <c r="L12" s="13"/>
      <c r="M12" s="13"/>
      <c r="N12" s="13"/>
      <c r="O12" s="13"/>
      <c r="P12" s="13"/>
      <c r="Q12" s="13"/>
      <c r="R12" s="13"/>
      <c r="S12" s="13"/>
      <c r="T12" s="13"/>
      <c r="U12" s="13"/>
      <c r="V12" s="13"/>
      <c r="W12" s="30"/>
      <c r="X12" s="30"/>
      <c r="Y12" s="30"/>
      <c r="Z12" s="30"/>
      <c r="AA12" s="30"/>
      <c r="AB12" s="30"/>
      <c r="AC12" s="30"/>
      <c r="AD12" s="30"/>
      <c r="AE12" s="30"/>
      <c r="AF12" s="30"/>
    </row>
    <row r="13" spans="1:32" ht="15" thickBot="1" x14ac:dyDescent="0.4">
      <c r="A13" s="23" t="s">
        <v>15</v>
      </c>
      <c r="B13" s="13"/>
      <c r="C13" s="30"/>
      <c r="D13" s="30">
        <v>73</v>
      </c>
      <c r="E13" s="30">
        <v>80</v>
      </c>
      <c r="F13" s="30">
        <v>314</v>
      </c>
      <c r="G13" s="66">
        <f>Table357911171921[[#This Row],[Column6]]</f>
        <v>314</v>
      </c>
      <c r="H13" s="30"/>
      <c r="I13" s="30"/>
      <c r="J13" s="30"/>
      <c r="K13" s="30"/>
      <c r="L13" s="13"/>
      <c r="M13" s="13"/>
      <c r="N13" s="13"/>
      <c r="O13" s="13"/>
      <c r="P13" s="13"/>
      <c r="Q13" s="13"/>
      <c r="R13" s="13"/>
      <c r="S13" s="13"/>
      <c r="T13" s="13"/>
      <c r="U13" s="13"/>
      <c r="V13" s="13"/>
      <c r="W13" s="30"/>
      <c r="X13" s="30"/>
      <c r="Y13" s="30"/>
      <c r="Z13" s="30"/>
      <c r="AA13" s="30"/>
      <c r="AB13" s="30"/>
      <c r="AC13" s="30"/>
      <c r="AD13" s="30"/>
      <c r="AE13" s="30"/>
      <c r="AF13" s="30"/>
    </row>
    <row r="14" spans="1:32" ht="15" thickBot="1" x14ac:dyDescent="0.4">
      <c r="A14" s="23" t="s">
        <v>32</v>
      </c>
      <c r="B14" s="13"/>
      <c r="C14" s="30"/>
      <c r="D14" s="30">
        <v>73</v>
      </c>
      <c r="E14" s="30">
        <v>80</v>
      </c>
      <c r="F14" s="30">
        <v>314</v>
      </c>
      <c r="G14" s="66">
        <f>Table357911171921[[#This Row],[Column6]]</f>
        <v>314</v>
      </c>
      <c r="H14" s="30"/>
      <c r="I14" s="30"/>
      <c r="J14" s="30"/>
      <c r="K14" s="30"/>
      <c r="L14" s="13"/>
      <c r="M14" s="13"/>
      <c r="N14" s="13"/>
      <c r="O14" s="13"/>
      <c r="P14" s="13"/>
      <c r="Q14" s="13"/>
      <c r="R14" s="13"/>
      <c r="S14" s="13"/>
      <c r="T14" s="13"/>
      <c r="U14" s="13"/>
      <c r="V14" s="13"/>
      <c r="W14" s="30"/>
      <c r="X14" s="30"/>
      <c r="Y14" s="30"/>
      <c r="Z14" s="30"/>
      <c r="AA14" s="30"/>
      <c r="AB14" s="30"/>
      <c r="AC14" s="30"/>
      <c r="AD14" s="30"/>
      <c r="AE14" s="30"/>
      <c r="AF14" s="30"/>
    </row>
    <row r="15" spans="1:32" ht="15" thickBot="1" x14ac:dyDescent="0.4">
      <c r="A15" s="23" t="s">
        <v>33</v>
      </c>
      <c r="B15" s="15"/>
      <c r="C15" s="15"/>
      <c r="D15" s="32"/>
      <c r="E15" s="32"/>
      <c r="F15" s="32"/>
      <c r="G15" s="32">
        <v>314</v>
      </c>
      <c r="H15" s="32"/>
      <c r="I15" s="32"/>
      <c r="J15" s="32"/>
      <c r="K15" s="32"/>
      <c r="L15" s="15"/>
      <c r="M15" s="15"/>
      <c r="N15" s="15"/>
      <c r="O15" s="15"/>
      <c r="P15" s="15"/>
      <c r="Q15" s="15"/>
      <c r="R15" s="15"/>
      <c r="S15" s="15"/>
      <c r="T15" s="15"/>
      <c r="U15" s="15"/>
      <c r="V15" s="15"/>
      <c r="W15" s="15"/>
      <c r="X15" s="15"/>
      <c r="Y15" s="32"/>
      <c r="Z15" s="32"/>
      <c r="AA15" s="32"/>
      <c r="AB15" s="32"/>
      <c r="AC15" s="32"/>
      <c r="AD15" s="32"/>
      <c r="AE15" s="32"/>
      <c r="AF15" s="32"/>
    </row>
    <row r="16" spans="1:32" ht="15" thickBot="1" x14ac:dyDescent="0.4">
      <c r="A16" s="23" t="s">
        <v>34</v>
      </c>
      <c r="B16" s="13"/>
      <c r="C16" s="13"/>
      <c r="D16" s="13"/>
      <c r="E16" s="13"/>
      <c r="F16" s="13"/>
      <c r="G16" s="30">
        <v>314</v>
      </c>
      <c r="H16" s="30"/>
      <c r="I16" s="30"/>
      <c r="J16" s="30"/>
      <c r="K16" s="30"/>
      <c r="L16" s="13"/>
      <c r="M16" s="13"/>
      <c r="N16" s="13"/>
      <c r="O16" s="13"/>
      <c r="P16" s="13"/>
      <c r="Q16" s="13"/>
      <c r="R16" s="13"/>
      <c r="S16" s="13"/>
      <c r="T16" s="13"/>
      <c r="U16" s="13"/>
      <c r="V16" s="13"/>
      <c r="W16" s="13"/>
      <c r="X16" s="13"/>
      <c r="Y16" s="13"/>
      <c r="Z16" s="13"/>
      <c r="AA16" s="13"/>
      <c r="AB16" s="30"/>
      <c r="AC16" s="30"/>
      <c r="AD16" s="30"/>
      <c r="AE16" s="30"/>
      <c r="AF16" s="30"/>
    </row>
    <row r="17" spans="1:32" x14ac:dyDescent="0.35">
      <c r="A17" s="61"/>
      <c r="B17" s="62"/>
      <c r="C17" s="62"/>
      <c r="D17" s="62"/>
      <c r="E17" s="62"/>
      <c r="F17" s="62"/>
      <c r="G17" s="63"/>
      <c r="H17" s="63"/>
      <c r="I17" s="63"/>
      <c r="J17" s="63"/>
      <c r="K17" s="63"/>
      <c r="L17" s="59"/>
      <c r="M17" s="59"/>
      <c r="N17" s="59"/>
      <c r="O17" s="59"/>
      <c r="P17" s="59"/>
      <c r="Q17" s="59"/>
      <c r="R17" s="59"/>
      <c r="S17" s="59"/>
      <c r="T17" s="59"/>
      <c r="U17" s="59"/>
      <c r="V17" s="59"/>
      <c r="W17" s="59"/>
      <c r="X17" s="59"/>
      <c r="Y17" s="59"/>
      <c r="Z17" s="59"/>
      <c r="AA17" s="59"/>
      <c r="AB17" s="60"/>
      <c r="AC17" s="60"/>
      <c r="AD17" s="60"/>
      <c r="AE17" s="60"/>
      <c r="AF17" s="60"/>
    </row>
    <row r="18" spans="1:32" ht="15" thickBot="1" x14ac:dyDescent="0.4"/>
    <row r="19" spans="1:32" x14ac:dyDescent="0.35">
      <c r="A19" s="87" t="s">
        <v>20</v>
      </c>
      <c r="B19" s="88"/>
      <c r="C19" s="88"/>
      <c r="D19" s="88"/>
      <c r="E19" s="88"/>
      <c r="F19" s="88"/>
      <c r="G19" s="88"/>
      <c r="H19" s="88"/>
      <c r="I19" s="88"/>
      <c r="J19" s="88"/>
      <c r="K19" s="89"/>
    </row>
    <row r="20" spans="1:32" x14ac:dyDescent="0.35">
      <c r="A20" s="90" t="s">
        <v>21</v>
      </c>
      <c r="B20" s="91"/>
      <c r="C20" s="91"/>
      <c r="D20" s="91"/>
      <c r="E20" s="91"/>
      <c r="F20" s="91"/>
      <c r="G20" s="91"/>
      <c r="H20" s="91"/>
      <c r="I20" s="91"/>
      <c r="J20" s="91"/>
      <c r="K20" s="92"/>
    </row>
    <row r="21" spans="1:32" x14ac:dyDescent="0.35">
      <c r="A21" s="90" t="s">
        <v>22</v>
      </c>
      <c r="B21" s="91"/>
      <c r="C21" s="91"/>
      <c r="D21" s="91"/>
      <c r="E21" s="91"/>
      <c r="F21" s="91"/>
      <c r="G21" s="91"/>
      <c r="H21" s="91"/>
      <c r="I21" s="91"/>
      <c r="J21" s="91"/>
      <c r="K21" s="92"/>
    </row>
    <row r="22" spans="1:32" ht="15" thickBot="1" x14ac:dyDescent="0.4">
      <c r="A22" s="84" t="s">
        <v>23</v>
      </c>
      <c r="B22" s="85"/>
      <c r="C22" s="85"/>
      <c r="D22" s="85"/>
      <c r="E22" s="85"/>
      <c r="F22" s="85"/>
      <c r="G22" s="85"/>
      <c r="H22" s="85"/>
      <c r="I22" s="85"/>
      <c r="J22" s="85"/>
      <c r="K22" s="86"/>
    </row>
    <row r="25" spans="1:32" hidden="1" x14ac:dyDescent="0.35">
      <c r="B25">
        <f>IF(SUM(B8,B11:B19)=SUM(A8,A11:A19),0,1)</f>
        <v>1</v>
      </c>
      <c r="C25">
        <f t="shared" ref="C25:K25" si="0">IF(SUM(C8,C11:C19)=SUM(B8,B11:B19),0,1)</f>
        <v>1</v>
      </c>
      <c r="D25">
        <f t="shared" si="0"/>
        <v>1</v>
      </c>
      <c r="E25">
        <f t="shared" si="0"/>
        <v>1</v>
      </c>
      <c r="F25">
        <f t="shared" si="0"/>
        <v>1</v>
      </c>
      <c r="G25">
        <f t="shared" si="0"/>
        <v>1</v>
      </c>
      <c r="H25">
        <f t="shared" si="0"/>
        <v>1</v>
      </c>
      <c r="I25">
        <f t="shared" si="0"/>
        <v>0</v>
      </c>
      <c r="J25">
        <f t="shared" si="0"/>
        <v>0</v>
      </c>
      <c r="K25">
        <f t="shared" si="0"/>
        <v>0</v>
      </c>
    </row>
  </sheetData>
  <mergeCells count="16">
    <mergeCell ref="A20:K20"/>
    <mergeCell ref="A21:K21"/>
    <mergeCell ref="A22:K22"/>
    <mergeCell ref="A5:D5"/>
    <mergeCell ref="E5:K5"/>
    <mergeCell ref="A6:D6"/>
    <mergeCell ref="E6:K6"/>
    <mergeCell ref="B10:K10"/>
    <mergeCell ref="A19:K19"/>
    <mergeCell ref="A4:D4"/>
    <mergeCell ref="E4:K4"/>
    <mergeCell ref="A1:K1"/>
    <mergeCell ref="A2:D2"/>
    <mergeCell ref="E2:K2"/>
    <mergeCell ref="A3:D3"/>
    <mergeCell ref="E3:K3"/>
  </mergeCells>
  <conditionalFormatting sqref="E7:AF7">
    <cfRule type="containsText" dxfId="647" priority="9" operator="containsText" text="10/12/xxxx">
      <formula>NOT(ISERROR(SEARCH("10/12/xxxx",E7)))</formula>
    </cfRule>
  </conditionalFormatting>
  <conditionalFormatting sqref="B9:AF9">
    <cfRule type="containsText" dxfId="646" priority="8" operator="containsText" text="xx/xx/xxxx">
      <formula>NOT(ISERROR(SEARCH("xx/xx/xxxx",B9)))</formula>
    </cfRule>
  </conditionalFormatting>
  <conditionalFormatting sqref="B7">
    <cfRule type="containsText" dxfId="645" priority="7" operator="containsText" text="10/12/xxxx">
      <formula>NOT(ISERROR(SEARCH("10/12/xxxx",B7)))</formula>
    </cfRule>
  </conditionalFormatting>
  <conditionalFormatting sqref="C7">
    <cfRule type="containsText" dxfId="644" priority="6" operator="containsText" text="10/12/xxxx">
      <formula>NOT(ISERROR(SEARCH("10/12/xxxx",C7)))</formula>
    </cfRule>
  </conditionalFormatting>
  <conditionalFormatting sqref="D7">
    <cfRule type="containsText" dxfId="643" priority="5" operator="containsText" text="10/12/xxxx">
      <formula>NOT(ISERROR(SEARCH("10/12/xxxx",D7)))</formula>
    </cfRule>
  </conditionalFormatting>
  <conditionalFormatting sqref="E9">
    <cfRule type="containsText" dxfId="642" priority="4" operator="containsText" text="xx/xx/xxxx">
      <formula>NOT(ISERROR(SEARCH("xx/xx/xxxx",E9)))</formula>
    </cfRule>
  </conditionalFormatting>
  <conditionalFormatting sqref="E7">
    <cfRule type="containsText" dxfId="641" priority="3" operator="containsText" text="10/12/xxxx">
      <formula>NOT(ISERROR(SEARCH("10/12/xxxx",E7)))</formula>
    </cfRule>
  </conditionalFormatting>
  <conditionalFormatting sqref="D9">
    <cfRule type="containsText" dxfId="640" priority="2" operator="containsText" text="xx/xx/xxxx">
      <formula>NOT(ISERROR(SEARCH("xx/xx/xxxx",D9)))</formula>
    </cfRule>
  </conditionalFormatting>
  <conditionalFormatting sqref="D7">
    <cfRule type="containsText" dxfId="639" priority="1" operator="containsText" text="10/12/xxxx">
      <formula>NOT(ISERROR(SEARCH("10/12/xxxx",D7)))</formula>
    </cfRule>
  </conditionalFormatting>
  <dataValidations count="4">
    <dataValidation allowBlank="1" showInputMessage="1" showErrorMessage="1" prompt="Please input the correct Rehabilitation Area number (RA#)" sqref="E2:K2" xr:uid="{CCEC20E2-58C7-4BAD-BFD9-BFF58A2BC474}"/>
    <dataValidation allowBlank="1" showInputMessage="1" showErrorMessage="1" promptTitle="Insert Area (ha)" prompt="Please insert the cumulative area available in hectares (ha)" sqref="E8:K8" xr:uid="{7D047898-D9E0-4165-A1FA-640C6ED60F7D}"/>
    <dataValidation allowBlank="1" showInputMessage="1" showErrorMessage="1" promptTitle="Insert Date" prompt="Please insert the data the milestone is to be completed by" sqref="B9:AF9" xr:uid="{BC067395-D941-4C28-9835-1391F847B9B6}"/>
    <dataValidation allowBlank="1" showInputMessage="1" showErrorMessage="1" promptTitle="Insert Date" prompt="Please insert the date the area is available for rehabilitation" sqref="B7:AF7" xr:uid="{E8067D1A-B50C-434E-9B36-1A1C8478A361}"/>
  </dataValidations>
  <pageMargins left="0.7" right="0.7" top="0.75" bottom="0.75" header="0.3" footer="0.3"/>
  <pageSetup paperSize="9"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997709AE4B0794CB44FFE71756C0B4A" ma:contentTypeVersion="12" ma:contentTypeDescription="Create a new document." ma:contentTypeScope="" ma:versionID="69693c71b90f7b418e05bb0073e91a5e">
  <xsd:schema xmlns:xsd="http://www.w3.org/2001/XMLSchema" xmlns:xs="http://www.w3.org/2001/XMLSchema" xmlns:p="http://schemas.microsoft.com/office/2006/metadata/properties" xmlns:ns2="aea6574a-5966-487b-88b0-342fa12eef41" xmlns:ns3="a6789a7d-d1a5-497b-a2bd-febc0f72c04e" targetNamespace="http://schemas.microsoft.com/office/2006/metadata/properties" ma:root="true" ma:fieldsID="5f722ee20b3dd0c14b58f81e6acb9920" ns2:_="" ns3:_="">
    <xsd:import namespace="aea6574a-5966-487b-88b0-342fa12eef41"/>
    <xsd:import namespace="a6789a7d-d1a5-497b-a2bd-febc0f72c04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a6574a-5966-487b-88b0-342fa12eef4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789a7d-d1a5-497b-a2bd-febc0f72c04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1A78E5-78C1-43F4-AA77-0C094C81D382}">
  <ds:schemaRefs>
    <ds:schemaRef ds:uri="7e65f767-4ed1-46e3-a566-2fa68604fa58"/>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e3209a6d-07c0-4dd4-a149-ba562b5deade"/>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3F24D023-B226-4652-9F29-E67650275725}">
  <ds:schemaRefs>
    <ds:schemaRef ds:uri="http://schemas.microsoft.com/sharepoint/v3/contenttype/forms"/>
  </ds:schemaRefs>
</ds:datastoreItem>
</file>

<file path=customXml/itemProps3.xml><?xml version="1.0" encoding="utf-8"?>
<ds:datastoreItem xmlns:ds="http://schemas.openxmlformats.org/officeDocument/2006/customXml" ds:itemID="{3DA08B07-1991-420E-9F82-332F9329CF6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vt:i4>
      </vt:variant>
    </vt:vector>
  </HeadingPairs>
  <TitlesOfParts>
    <vt:vector size="17" baseType="lpstr">
      <vt:lpstr>Instructions</vt:lpstr>
      <vt:lpstr>RA1- Elevated Dumps Upper</vt:lpstr>
      <vt:lpstr>RA2-Elevated Dumps Slopes</vt:lpstr>
      <vt:lpstr>RA3-Backfilled Pits</vt:lpstr>
      <vt:lpstr>RA4-Tracks_Roads</vt:lpstr>
      <vt:lpstr>RA5-ROM</vt:lpstr>
      <vt:lpstr>RA6-CHPP</vt:lpstr>
      <vt:lpstr>RA7-Mine Infrastructure Area</vt:lpstr>
      <vt:lpstr>RA8-Water Management Structures</vt:lpstr>
      <vt:lpstr>RA9-Codisposal Upper</vt:lpstr>
      <vt:lpstr>RA10-Codisposal Slopes</vt:lpstr>
      <vt:lpstr>IA1-Final Void inc Ramps</vt:lpstr>
      <vt:lpstr>Rehabilitation Area Milestones</vt:lpstr>
      <vt:lpstr>Improvement Area Milestones</vt:lpstr>
      <vt:lpstr>Summary</vt:lpstr>
      <vt:lpstr>'Improvement Area Milestones'!Print_Area</vt:lpstr>
      <vt:lpstr>'Rehabilitation Area Milestones'!Print_Area</vt:lpstr>
    </vt:vector>
  </TitlesOfParts>
  <Manager/>
  <Company>Queensland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PRCP schedule template</dc:title>
  <dc:subject>This form can be used for completing a PRCP schedule for the submission of a PRC plan.</dc:subject>
  <dc:creator>State of Queensland for the Department of Environment and Science</dc:creator>
  <cp:keywords>ESR/2019/5103; PRCP schedule; template; PRC plan; EP Act</cp:keywords>
  <dc:description/>
  <cp:lastModifiedBy>Gomez-Gane, Kylie</cp:lastModifiedBy>
  <cp:revision/>
  <dcterms:created xsi:type="dcterms:W3CDTF">2019-10-27T23:30:31Z</dcterms:created>
  <dcterms:modified xsi:type="dcterms:W3CDTF">2022-02-12T03:53:33Z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0x0101007997709AE4B0794CB44FFE71756C0B4A</vt:lpwstr>
  </property>
</Properties>
</file>