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ThisWorkbook"/>
  <mc:AlternateContent xmlns:mc="http://schemas.openxmlformats.org/markup-compatibility/2006">
    <mc:Choice Requires="x15">
      <x15ac:absPath xmlns:x15ac="http://schemas.microsoft.com/office/spreadsheetml/2010/11/ac" url="C:\Users\i71795\OneDrive - Peabody\Documents\MSP KGG working folder\Codrilla\PRCP re-lodgement\"/>
    </mc:Choice>
  </mc:AlternateContent>
  <xr:revisionPtr revIDLastSave="167" documentId="8_{E0B1F6F4-A9C3-4088-A0E2-C05E2318D41D}" xr6:coauthVersionLast="40" xr6:coauthVersionMax="47" xr10:uidLastSave="{0E161955-BF18-4437-911F-D6BC890CC98B}"/>
  <bookViews>
    <workbookView xWindow="0" yWindow="0" windowWidth="23040" windowHeight="6710" activeTab="1" xr2:uid="{00000000-000D-0000-FFFF-FFFF00000000}"/>
  </bookViews>
  <sheets>
    <sheet name="Instructions" sheetId="1" r:id="rId1"/>
    <sheet name="RA1- Elevated Dumps Upper" sheetId="2" r:id="rId2"/>
    <sheet name="RA2-Elevated Dumps Slopes" sheetId="11" r:id="rId3"/>
    <sheet name="RA3-Backfilled Pits" sheetId="12" r:id="rId4"/>
    <sheet name="RA4-Tracks_Roads" sheetId="13" r:id="rId5"/>
    <sheet name="RA5-ROM" sheetId="14" r:id="rId6"/>
    <sheet name="RA6-CHPP" sheetId="15" r:id="rId7"/>
    <sheet name="RA7-Mine Infrastructure Area" sheetId="16" r:id="rId8"/>
    <sheet name="RA8-Water Management Structures" sheetId="17" r:id="rId9"/>
    <sheet name="RA9-Codisposal Upper" sheetId="18" r:id="rId10"/>
    <sheet name="RA10-Codisposal Slopes" sheetId="19" r:id="rId11"/>
    <sheet name="IA1-Final Void inc Ramps" sheetId="4" r:id="rId12"/>
    <sheet name="Rehabilitation Area Milestones" sheetId="20" r:id="rId13"/>
    <sheet name="Improvement Area Milestones" sheetId="21" r:id="rId14"/>
    <sheet name="Summary" sheetId="22" r:id="rId15"/>
  </sheets>
  <definedNames>
    <definedName name="_xlnm.Print_Area" localSheetId="13">'Improvement Area Milestones'!$A$1:$C$12</definedName>
    <definedName name="_xlnm.Print_Area" localSheetId="12">Table14[#All]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1" i="22" l="1"/>
  <c r="F51" i="22"/>
  <c r="G51" i="22"/>
  <c r="H51" i="22"/>
  <c r="I51" i="22"/>
  <c r="J51" i="22"/>
  <c r="K51" i="22"/>
  <c r="L51" i="22"/>
  <c r="M51" i="22"/>
  <c r="N51" i="22"/>
  <c r="O51" i="22"/>
  <c r="P51" i="22"/>
  <c r="Q51" i="22"/>
  <c r="R51" i="22"/>
  <c r="S51" i="22"/>
  <c r="T51" i="22"/>
  <c r="U51" i="22"/>
  <c r="V51" i="22"/>
  <c r="W51" i="22"/>
  <c r="X51" i="22"/>
  <c r="Y51" i="22"/>
  <c r="Z51" i="22"/>
  <c r="AA51" i="22"/>
  <c r="AB51" i="22"/>
  <c r="AC51" i="22"/>
  <c r="AD51" i="22"/>
  <c r="AE51" i="22"/>
  <c r="AF51" i="22"/>
  <c r="AG51" i="22"/>
  <c r="AH51" i="22"/>
  <c r="AI51" i="22"/>
  <c r="AJ51" i="22"/>
  <c r="AK51" i="22"/>
  <c r="AL51" i="22"/>
  <c r="AM51" i="22"/>
  <c r="AN51" i="22"/>
  <c r="AO51" i="22"/>
  <c r="AP51" i="22"/>
  <c r="AQ51" i="22"/>
  <c r="AR51" i="22"/>
  <c r="AS51" i="22"/>
  <c r="AT51" i="22"/>
  <c r="AU51" i="22"/>
  <c r="AV51" i="22"/>
  <c r="AW51" i="22"/>
  <c r="AX51" i="22"/>
  <c r="AY51" i="22"/>
  <c r="AZ51" i="22"/>
  <c r="BA51" i="22"/>
  <c r="BB51" i="22"/>
  <c r="BC51" i="22"/>
  <c r="BD51" i="22"/>
  <c r="BE51" i="22"/>
  <c r="BF51" i="22"/>
  <c r="BG51" i="22"/>
  <c r="BH51" i="22"/>
  <c r="BI51" i="22"/>
  <c r="BJ51" i="22"/>
  <c r="BK51" i="22"/>
  <c r="BL51" i="22"/>
  <c r="BM51" i="22"/>
  <c r="BN51" i="22"/>
  <c r="D51" i="22"/>
  <c r="P42" i="22"/>
  <c r="T42" i="22"/>
  <c r="W42" i="22"/>
  <c r="X42" i="22"/>
  <c r="Z42" i="22"/>
  <c r="AD42" i="22"/>
  <c r="AF42" i="22"/>
  <c r="AJ42" i="22"/>
  <c r="AM42" i="22"/>
  <c r="AP42" i="22"/>
  <c r="AZ42" i="22"/>
  <c r="O12" i="22"/>
  <c r="O42" i="22" s="1"/>
  <c r="P12" i="22"/>
  <c r="Q12" i="22"/>
  <c r="Q42" i="22" s="1"/>
  <c r="R12" i="22"/>
  <c r="R42" i="22" s="1"/>
  <c r="S12" i="22"/>
  <c r="S42" i="22" s="1"/>
  <c r="T12" i="22"/>
  <c r="U12" i="22"/>
  <c r="U42" i="22" s="1"/>
  <c r="V12" i="22"/>
  <c r="V42" i="22" s="1"/>
  <c r="W12" i="22"/>
  <c r="X12" i="22"/>
  <c r="Y12" i="22"/>
  <c r="Y42" i="22" s="1"/>
  <c r="Z12" i="22"/>
  <c r="AA12" i="22"/>
  <c r="AA42" i="22" s="1"/>
  <c r="AB12" i="22"/>
  <c r="AB42" i="22" s="1"/>
  <c r="AC12" i="22"/>
  <c r="AC42" i="22" s="1"/>
  <c r="AD12" i="22"/>
  <c r="AE12" i="22"/>
  <c r="AE42" i="22" s="1"/>
  <c r="AF12" i="22"/>
  <c r="AG12" i="22"/>
  <c r="AG42" i="22" s="1"/>
  <c r="AH12" i="22"/>
  <c r="AH42" i="22" s="1"/>
  <c r="AI12" i="22"/>
  <c r="AI42" i="22" s="1"/>
  <c r="AJ12" i="22"/>
  <c r="AK12" i="22"/>
  <c r="AK42" i="22" s="1"/>
  <c r="AL12" i="22"/>
  <c r="AL42" i="22" s="1"/>
  <c r="AM12" i="22"/>
  <c r="AN12" i="22"/>
  <c r="AN42" i="22" s="1"/>
  <c r="AO12" i="22"/>
  <c r="AO42" i="22" s="1"/>
  <c r="AP12" i="22"/>
  <c r="AQ12" i="22"/>
  <c r="AQ42" i="22" s="1"/>
  <c r="AR12" i="22"/>
  <c r="AR42" i="22" s="1"/>
  <c r="AS12" i="22"/>
  <c r="AS42" i="22" s="1"/>
  <c r="AT12" i="22"/>
  <c r="AT42" i="22" s="1"/>
  <c r="AU12" i="22"/>
  <c r="AU42" i="22" s="1"/>
  <c r="AV12" i="22"/>
  <c r="AV42" i="22" s="1"/>
  <c r="AW12" i="22"/>
  <c r="AW42" i="22" s="1"/>
  <c r="AX12" i="22"/>
  <c r="AX42" i="22" s="1"/>
  <c r="AY12" i="22"/>
  <c r="AY42" i="22" s="1"/>
  <c r="AZ12" i="22"/>
  <c r="BA12" i="22"/>
  <c r="BA42" i="22" s="1"/>
  <c r="BB12" i="22"/>
  <c r="BB42" i="22" s="1"/>
  <c r="BC12" i="22"/>
  <c r="BC42" i="22" s="1"/>
  <c r="BD12" i="22"/>
  <c r="BD42" i="22" s="1"/>
  <c r="BE12" i="22"/>
  <c r="BE42" i="22" s="1"/>
  <c r="BF12" i="22"/>
  <c r="BF42" i="22" s="1"/>
  <c r="BG12" i="22"/>
  <c r="BG42" i="22" s="1"/>
  <c r="BH12" i="22"/>
  <c r="BH42" i="22" s="1"/>
  <c r="BI12" i="22"/>
  <c r="BI42" i="22" s="1"/>
  <c r="BJ12" i="22"/>
  <c r="BJ42" i="22" s="1"/>
  <c r="BK12" i="22"/>
  <c r="BK42" i="22" s="1"/>
  <c r="BL12" i="22"/>
  <c r="BL42" i="22" s="1"/>
  <c r="BM12" i="22"/>
  <c r="BM42" i="22" s="1"/>
  <c r="BN12" i="22"/>
  <c r="BN42" i="22" s="1"/>
  <c r="E12" i="22"/>
  <c r="E42" i="22" s="1"/>
  <c r="F12" i="22"/>
  <c r="F42" i="22" s="1"/>
  <c r="G12" i="22"/>
  <c r="G42" i="22" s="1"/>
  <c r="H12" i="22"/>
  <c r="H42" i="22" s="1"/>
  <c r="I12" i="22"/>
  <c r="I42" i="22" s="1"/>
  <c r="J12" i="22"/>
  <c r="J42" i="22" s="1"/>
  <c r="K12" i="22"/>
  <c r="K42" i="22" s="1"/>
  <c r="L12" i="22"/>
  <c r="L42" i="22" s="1"/>
  <c r="M12" i="22"/>
  <c r="M42" i="22" s="1"/>
  <c r="N12" i="22"/>
  <c r="N42" i="22" s="1"/>
  <c r="D12" i="22"/>
  <c r="D42" i="22" s="1"/>
  <c r="BN25" i="22"/>
  <c r="BM25" i="22"/>
  <c r="BL25" i="22"/>
  <c r="BK25" i="22"/>
  <c r="BJ25" i="22"/>
  <c r="BI25" i="22"/>
  <c r="BH25" i="22"/>
  <c r="BG25" i="22"/>
  <c r="BF25" i="22"/>
  <c r="BE25" i="22"/>
  <c r="BD25" i="22"/>
  <c r="BC25" i="22"/>
  <c r="BB25" i="22"/>
  <c r="BA25" i="22"/>
  <c r="AZ25" i="22"/>
  <c r="AY25" i="22"/>
  <c r="AX25" i="22"/>
  <c r="AW25" i="22"/>
  <c r="AV25" i="22"/>
  <c r="AU25" i="22"/>
  <c r="AT25" i="22"/>
  <c r="AS25" i="22"/>
  <c r="AR25" i="22"/>
  <c r="AQ25" i="22"/>
  <c r="AP25" i="22"/>
  <c r="AO25" i="22"/>
  <c r="AN25" i="22"/>
  <c r="AM25" i="22"/>
  <c r="AL25" i="22"/>
  <c r="AK25" i="22"/>
  <c r="AJ25" i="22"/>
  <c r="AI25" i="22"/>
  <c r="AH25" i="22"/>
  <c r="AG25" i="22"/>
  <c r="AF25" i="22"/>
  <c r="AE25" i="22"/>
  <c r="AD25" i="22"/>
  <c r="AC25" i="22"/>
  <c r="AB25" i="22"/>
  <c r="AA25" i="22"/>
  <c r="Z25" i="22"/>
  <c r="Y25" i="22"/>
  <c r="X25" i="22"/>
  <c r="W25" i="22"/>
  <c r="V25" i="22"/>
  <c r="U25" i="22"/>
  <c r="T25" i="22"/>
  <c r="S25" i="22"/>
  <c r="R25" i="22"/>
  <c r="Q25" i="22"/>
  <c r="P25" i="22"/>
  <c r="O25" i="22"/>
  <c r="N25" i="22"/>
  <c r="M25" i="22"/>
  <c r="L25" i="22"/>
  <c r="K25" i="22"/>
  <c r="J25" i="22"/>
  <c r="I25" i="22"/>
  <c r="H25" i="22"/>
  <c r="G25" i="22"/>
  <c r="F25" i="22"/>
  <c r="E25" i="22"/>
  <c r="D25" i="22"/>
  <c r="BN24" i="22"/>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D24" i="22"/>
  <c r="AC24" i="22"/>
  <c r="AB24" i="22"/>
  <c r="AA24" i="22"/>
  <c r="Z24" i="22"/>
  <c r="Y24" i="22"/>
  <c r="X24" i="22"/>
  <c r="W24" i="22"/>
  <c r="V24" i="22"/>
  <c r="U24" i="22"/>
  <c r="T24" i="22"/>
  <c r="S24" i="22"/>
  <c r="R24" i="22"/>
  <c r="Q24" i="22"/>
  <c r="P24" i="22"/>
  <c r="O24" i="22"/>
  <c r="N24" i="22"/>
  <c r="M24" i="22"/>
  <c r="L24" i="22"/>
  <c r="K24" i="22"/>
  <c r="J24" i="22"/>
  <c r="I24" i="22"/>
  <c r="H24" i="22"/>
  <c r="G24" i="22"/>
  <c r="F24" i="22"/>
  <c r="E24" i="22"/>
  <c r="D24" i="22"/>
  <c r="BN23" i="22"/>
  <c r="BM23" i="22"/>
  <c r="BL23" i="22"/>
  <c r="BK23" i="22"/>
  <c r="BJ23" i="22"/>
  <c r="BI23" i="22"/>
  <c r="BH23" i="22"/>
  <c r="BG23" i="22"/>
  <c r="BF23" i="22"/>
  <c r="BE23" i="22"/>
  <c r="BD23" i="22"/>
  <c r="BC23" i="22"/>
  <c r="BB23" i="22"/>
  <c r="BA23" i="22"/>
  <c r="AZ23" i="22"/>
  <c r="AY23" i="22"/>
  <c r="AX23" i="22"/>
  <c r="AW23" i="22"/>
  <c r="AV23" i="22"/>
  <c r="AU23" i="22"/>
  <c r="AT23" i="22"/>
  <c r="AS23" i="22"/>
  <c r="AR23" i="22"/>
  <c r="AQ23" i="22"/>
  <c r="AP23" i="22"/>
  <c r="AO23" i="22"/>
  <c r="AN23" i="22"/>
  <c r="AM23" i="22"/>
  <c r="AL23" i="22"/>
  <c r="AK23" i="22"/>
  <c r="AJ23" i="22"/>
  <c r="AI23" i="22"/>
  <c r="AH23" i="22"/>
  <c r="AG23" i="22"/>
  <c r="AF23" i="22"/>
  <c r="AE23" i="22"/>
  <c r="AD23" i="22"/>
  <c r="AC23" i="22"/>
  <c r="AB23" i="22"/>
  <c r="AA23" i="22"/>
  <c r="Z23" i="22"/>
  <c r="Y23" i="22"/>
  <c r="X23" i="22"/>
  <c r="W23" i="22"/>
  <c r="V23" i="22"/>
  <c r="U23" i="22"/>
  <c r="T23" i="22"/>
  <c r="S23" i="22"/>
  <c r="R23" i="22"/>
  <c r="Q23" i="22"/>
  <c r="P23" i="22"/>
  <c r="O23" i="22"/>
  <c r="N23" i="22"/>
  <c r="M23" i="22"/>
  <c r="L23" i="22"/>
  <c r="K23" i="22"/>
  <c r="J23" i="22"/>
  <c r="I23" i="22"/>
  <c r="H23" i="22"/>
  <c r="G23" i="22"/>
  <c r="F23" i="22"/>
  <c r="E23" i="22"/>
  <c r="D23" i="22"/>
  <c r="BN22" i="22"/>
  <c r="BM22" i="22"/>
  <c r="BL22" i="22"/>
  <c r="BK22" i="22"/>
  <c r="BJ22" i="22"/>
  <c r="BI22" i="22"/>
  <c r="BH22" i="22"/>
  <c r="BG22" i="22"/>
  <c r="BF22" i="22"/>
  <c r="BE22" i="22"/>
  <c r="BD22" i="22"/>
  <c r="BC22" i="22"/>
  <c r="BB22" i="22"/>
  <c r="BA22" i="22"/>
  <c r="AZ22" i="22"/>
  <c r="AY22" i="22"/>
  <c r="AX22" i="22"/>
  <c r="AW22" i="22"/>
  <c r="AV22" i="22"/>
  <c r="AU22" i="22"/>
  <c r="AT22" i="22"/>
  <c r="AS22" i="22"/>
  <c r="AR22" i="22"/>
  <c r="AQ22" i="22"/>
  <c r="AP22" i="22"/>
  <c r="AO22" i="22"/>
  <c r="AN22" i="22"/>
  <c r="AM22" i="22"/>
  <c r="AL22" i="22"/>
  <c r="AK22" i="22"/>
  <c r="AJ22" i="22"/>
  <c r="AI22" i="22"/>
  <c r="AH22" i="22"/>
  <c r="AG22" i="22"/>
  <c r="AF22" i="22"/>
  <c r="AE22" i="22"/>
  <c r="AD22" i="22"/>
  <c r="AC22" i="22"/>
  <c r="AB22" i="22"/>
  <c r="AA22" i="22"/>
  <c r="Z22" i="22"/>
  <c r="Y22" i="22"/>
  <c r="X22" i="22"/>
  <c r="W22" i="22"/>
  <c r="V22" i="22"/>
  <c r="U22" i="22"/>
  <c r="T22" i="22"/>
  <c r="S22" i="22"/>
  <c r="R22" i="22"/>
  <c r="Q22" i="22"/>
  <c r="P22" i="22"/>
  <c r="O22" i="22"/>
  <c r="N22" i="22"/>
  <c r="M22" i="22"/>
  <c r="L22" i="22"/>
  <c r="K22" i="22"/>
  <c r="J22" i="22"/>
  <c r="I22" i="22"/>
  <c r="H22" i="22"/>
  <c r="G22" i="22"/>
  <c r="F22" i="22"/>
  <c r="E22" i="22"/>
  <c r="D22" i="22"/>
  <c r="BN21" i="22"/>
  <c r="BM21" i="22"/>
  <c r="BL21" i="22"/>
  <c r="BK21" i="22"/>
  <c r="BJ21" i="22"/>
  <c r="BI21" i="22"/>
  <c r="BH21" i="22"/>
  <c r="BG21" i="22"/>
  <c r="BF21" i="22"/>
  <c r="BE21" i="22"/>
  <c r="BD21" i="22"/>
  <c r="BC21" i="22"/>
  <c r="BB21" i="22"/>
  <c r="BA21" i="22"/>
  <c r="AZ21" i="22"/>
  <c r="AY21" i="22"/>
  <c r="AX21" i="22"/>
  <c r="AW21" i="22"/>
  <c r="AV21" i="22"/>
  <c r="AU21" i="22"/>
  <c r="AT21" i="22"/>
  <c r="AS21" i="22"/>
  <c r="AR21" i="22"/>
  <c r="AQ21" i="22"/>
  <c r="AP21" i="22"/>
  <c r="AO21" i="22"/>
  <c r="AN21" i="22"/>
  <c r="AM21" i="22"/>
  <c r="AL21" i="22"/>
  <c r="AK21" i="22"/>
  <c r="AJ21" i="22"/>
  <c r="AI21" i="22"/>
  <c r="AH21" i="22"/>
  <c r="AG21" i="22"/>
  <c r="AF21" i="22"/>
  <c r="AE21" i="22"/>
  <c r="AD21" i="22"/>
  <c r="AC21" i="22"/>
  <c r="AB21" i="22"/>
  <c r="AA21" i="22"/>
  <c r="Z21" i="22"/>
  <c r="Y21" i="22"/>
  <c r="X21" i="22"/>
  <c r="W21" i="22"/>
  <c r="V21" i="22"/>
  <c r="U21" i="22"/>
  <c r="T21" i="22"/>
  <c r="S21" i="22"/>
  <c r="R21" i="22"/>
  <c r="Q21" i="22"/>
  <c r="P21" i="22"/>
  <c r="O21" i="22"/>
  <c r="N21" i="22"/>
  <c r="M21" i="22"/>
  <c r="L21" i="22"/>
  <c r="K21" i="22"/>
  <c r="J21" i="22"/>
  <c r="I21" i="22"/>
  <c r="H21" i="22"/>
  <c r="G21" i="22"/>
  <c r="F21" i="22"/>
  <c r="E21" i="22"/>
  <c r="D21" i="22"/>
  <c r="BN20" i="22"/>
  <c r="BM20" i="22"/>
  <c r="BL20" i="22"/>
  <c r="BK20" i="22"/>
  <c r="BJ20" i="22"/>
  <c r="BI20" i="22"/>
  <c r="BH20" i="22"/>
  <c r="BG20" i="22"/>
  <c r="BF20" i="22"/>
  <c r="BE20" i="22"/>
  <c r="BD20" i="22"/>
  <c r="BC20" i="22"/>
  <c r="BB20" i="22"/>
  <c r="BA20" i="22"/>
  <c r="AZ20" i="22"/>
  <c r="AY20" i="22"/>
  <c r="AX20" i="22"/>
  <c r="AW20" i="22"/>
  <c r="AV20" i="22"/>
  <c r="AU20" i="22"/>
  <c r="AT20" i="22"/>
  <c r="AS20" i="22"/>
  <c r="AR20" i="22"/>
  <c r="AQ20" i="22"/>
  <c r="AP20" i="22"/>
  <c r="AO20" i="22"/>
  <c r="AN20" i="22"/>
  <c r="AM20" i="22"/>
  <c r="AL20" i="22"/>
  <c r="AK20" i="22"/>
  <c r="AJ20" i="22"/>
  <c r="AI20" i="22"/>
  <c r="AH20" i="22"/>
  <c r="AG20" i="22"/>
  <c r="AF20" i="22"/>
  <c r="AE20" i="22"/>
  <c r="AD20" i="22"/>
  <c r="AC20" i="22"/>
  <c r="AB20" i="22"/>
  <c r="AA20" i="22"/>
  <c r="Z20" i="22"/>
  <c r="Y20" i="22"/>
  <c r="X20" i="22"/>
  <c r="W20" i="22"/>
  <c r="V20" i="22"/>
  <c r="U20" i="22"/>
  <c r="T20" i="22"/>
  <c r="S20" i="22"/>
  <c r="R20" i="22"/>
  <c r="Q20" i="22"/>
  <c r="P20" i="22"/>
  <c r="O20" i="22"/>
  <c r="N20" i="22"/>
  <c r="M20" i="22"/>
  <c r="L20" i="22"/>
  <c r="K20" i="22"/>
  <c r="J20" i="22"/>
  <c r="I20" i="22"/>
  <c r="H20" i="22"/>
  <c r="G20" i="22"/>
  <c r="F20" i="22"/>
  <c r="E20" i="22"/>
  <c r="D20" i="22"/>
  <c r="BN19" i="22"/>
  <c r="BM19" i="22"/>
  <c r="BL19" i="22"/>
  <c r="BK19" i="22"/>
  <c r="BJ19" i="22"/>
  <c r="BI19" i="22"/>
  <c r="BH19" i="22"/>
  <c r="BG19" i="22"/>
  <c r="BF19" i="22"/>
  <c r="BE19" i="22"/>
  <c r="BD19" i="22"/>
  <c r="BC19" i="22"/>
  <c r="BB19" i="22"/>
  <c r="BA19" i="22"/>
  <c r="AZ19" i="22"/>
  <c r="AY19" i="22"/>
  <c r="AX19" i="22"/>
  <c r="AW19" i="22"/>
  <c r="AV19" i="22"/>
  <c r="AU19" i="22"/>
  <c r="AT19" i="22"/>
  <c r="AS19" i="22"/>
  <c r="AR19" i="22"/>
  <c r="AQ19" i="22"/>
  <c r="AP19" i="22"/>
  <c r="AO19" i="22"/>
  <c r="AN19" i="22"/>
  <c r="AM19" i="22"/>
  <c r="AL19" i="22"/>
  <c r="AK19" i="22"/>
  <c r="AJ19" i="22"/>
  <c r="AI19" i="22"/>
  <c r="AH19" i="22"/>
  <c r="AG19" i="22"/>
  <c r="AF19" i="22"/>
  <c r="AE19" i="22"/>
  <c r="AD19" i="22"/>
  <c r="AC19" i="22"/>
  <c r="AB19" i="22"/>
  <c r="AA19" i="22"/>
  <c r="Z19" i="22"/>
  <c r="Y19" i="22"/>
  <c r="X19" i="22"/>
  <c r="W19" i="22"/>
  <c r="V19" i="22"/>
  <c r="U19" i="22"/>
  <c r="T19" i="22"/>
  <c r="S19" i="22"/>
  <c r="R19" i="22"/>
  <c r="Q19" i="22"/>
  <c r="P19" i="22"/>
  <c r="O19" i="22"/>
  <c r="N19" i="22"/>
  <c r="M19" i="22"/>
  <c r="L19" i="22"/>
  <c r="K19" i="22"/>
  <c r="J19" i="22"/>
  <c r="I19" i="22"/>
  <c r="H19" i="22"/>
  <c r="G19" i="22"/>
  <c r="F19" i="22"/>
  <c r="E19" i="22"/>
  <c r="D19" i="22"/>
  <c r="BN18" i="22"/>
  <c r="BM18" i="22"/>
  <c r="BL18" i="22"/>
  <c r="BK18" i="22"/>
  <c r="BJ18" i="22"/>
  <c r="BI18" i="22"/>
  <c r="BH18" i="22"/>
  <c r="BG18" i="22"/>
  <c r="BF18" i="22"/>
  <c r="BE18" i="22"/>
  <c r="BD18" i="22"/>
  <c r="BC18" i="22"/>
  <c r="BB18" i="22"/>
  <c r="BA18" i="22"/>
  <c r="AZ18" i="22"/>
  <c r="AY18" i="22"/>
  <c r="AX18" i="22"/>
  <c r="AW18" i="22"/>
  <c r="AV18" i="22"/>
  <c r="AU18" i="22"/>
  <c r="AT18" i="22"/>
  <c r="AS18" i="22"/>
  <c r="AR18" i="22"/>
  <c r="AQ18" i="22"/>
  <c r="AP18" i="22"/>
  <c r="AO18" i="22"/>
  <c r="AN18" i="22"/>
  <c r="AM18" i="22"/>
  <c r="AL18" i="22"/>
  <c r="AK18" i="22"/>
  <c r="AJ18" i="22"/>
  <c r="AI18" i="22"/>
  <c r="AH18" i="22"/>
  <c r="AG18" i="22"/>
  <c r="AF18" i="22"/>
  <c r="AE18" i="22"/>
  <c r="AD18" i="22"/>
  <c r="AC18" i="22"/>
  <c r="AB18" i="22"/>
  <c r="AA18" i="22"/>
  <c r="Z18" i="22"/>
  <c r="Y18" i="22"/>
  <c r="X18" i="22"/>
  <c r="W18" i="22"/>
  <c r="V18" i="22"/>
  <c r="U18" i="22"/>
  <c r="T18" i="22"/>
  <c r="S18" i="22"/>
  <c r="R18" i="22"/>
  <c r="Q18" i="22"/>
  <c r="P18" i="22"/>
  <c r="O18" i="22"/>
  <c r="N18" i="22"/>
  <c r="M18" i="22"/>
  <c r="L18" i="22"/>
  <c r="K18" i="22"/>
  <c r="J18" i="22"/>
  <c r="I18" i="22"/>
  <c r="H18" i="22"/>
  <c r="G18" i="22"/>
  <c r="F18" i="22"/>
  <c r="E18" i="22"/>
  <c r="D18" i="22"/>
  <c r="BN17" i="22"/>
  <c r="BM17" i="22"/>
  <c r="BL17" i="22"/>
  <c r="BK17" i="22"/>
  <c r="BJ17" i="22"/>
  <c r="BI17" i="22"/>
  <c r="BH17" i="22"/>
  <c r="BG17" i="22"/>
  <c r="BF17" i="22"/>
  <c r="BE17" i="22"/>
  <c r="BD17" i="22"/>
  <c r="BC17" i="22"/>
  <c r="BB17" i="22"/>
  <c r="BA17" i="22"/>
  <c r="AZ17" i="22"/>
  <c r="AY17" i="22"/>
  <c r="AX17" i="22"/>
  <c r="AW17" i="22"/>
  <c r="AV17" i="22"/>
  <c r="AU17" i="22"/>
  <c r="AT17" i="22"/>
  <c r="AS17" i="22"/>
  <c r="AR17" i="22"/>
  <c r="AQ17" i="22"/>
  <c r="AP17" i="22"/>
  <c r="AO17" i="22"/>
  <c r="AN17" i="22"/>
  <c r="AM17" i="22"/>
  <c r="AL17" i="22"/>
  <c r="AK17" i="22"/>
  <c r="AJ17" i="22"/>
  <c r="AI17" i="22"/>
  <c r="AH17" i="22"/>
  <c r="AG17" i="22"/>
  <c r="AF17" i="22"/>
  <c r="AE17" i="22"/>
  <c r="AD17" i="22"/>
  <c r="AC17" i="22"/>
  <c r="AB17" i="22"/>
  <c r="AA17" i="22"/>
  <c r="Z17" i="22"/>
  <c r="Y17" i="22"/>
  <c r="X17" i="22"/>
  <c r="W17" i="22"/>
  <c r="V17" i="22"/>
  <c r="U17" i="22"/>
  <c r="T17" i="22"/>
  <c r="S17" i="22"/>
  <c r="R17" i="22"/>
  <c r="Q17" i="22"/>
  <c r="P17" i="22"/>
  <c r="O17" i="22"/>
  <c r="N17" i="22"/>
  <c r="M17" i="22"/>
  <c r="L17" i="22"/>
  <c r="K17" i="22"/>
  <c r="J17" i="22"/>
  <c r="I17" i="22"/>
  <c r="H17" i="22"/>
  <c r="G17" i="22"/>
  <c r="F17" i="22"/>
  <c r="E17" i="22"/>
  <c r="D17" i="22"/>
  <c r="BN16" i="22"/>
  <c r="BM16" i="22"/>
  <c r="BL16" i="22"/>
  <c r="BK16" i="22"/>
  <c r="BJ16" i="22"/>
  <c r="BI16" i="22"/>
  <c r="BH16" i="22"/>
  <c r="BG16" i="22"/>
  <c r="BF16" i="22"/>
  <c r="BE16" i="22"/>
  <c r="BD16" i="22"/>
  <c r="BC16" i="22"/>
  <c r="BB16" i="22"/>
  <c r="BA16" i="22"/>
  <c r="AZ16" i="22"/>
  <c r="AY16" i="22"/>
  <c r="AX16" i="22"/>
  <c r="AW16" i="22"/>
  <c r="AV16" i="22"/>
  <c r="AU16" i="22"/>
  <c r="AT16" i="22"/>
  <c r="AS16" i="22"/>
  <c r="AR16" i="22"/>
  <c r="AQ16" i="22"/>
  <c r="AP16" i="22"/>
  <c r="AO16" i="22"/>
  <c r="AN16" i="22"/>
  <c r="AM16" i="22"/>
  <c r="AL16" i="22"/>
  <c r="AK16" i="22"/>
  <c r="AJ16" i="22"/>
  <c r="AI16" i="22"/>
  <c r="AH16" i="22"/>
  <c r="AG16" i="22"/>
  <c r="AF16" i="22"/>
  <c r="AE16" i="22"/>
  <c r="AD16" i="22"/>
  <c r="AC16" i="22"/>
  <c r="AB16" i="22"/>
  <c r="AA16" i="22"/>
  <c r="Z16" i="22"/>
  <c r="Y16" i="22"/>
  <c r="X16" i="22"/>
  <c r="W16" i="22"/>
  <c r="V16" i="22"/>
  <c r="U16" i="22"/>
  <c r="T16" i="22"/>
  <c r="S16" i="22"/>
  <c r="R16" i="22"/>
  <c r="Q16" i="22"/>
  <c r="P16" i="22"/>
  <c r="O16" i="22"/>
  <c r="N16" i="22"/>
  <c r="M16" i="22"/>
  <c r="L16" i="22"/>
  <c r="K16" i="22"/>
  <c r="J16" i="22"/>
  <c r="I16" i="22"/>
  <c r="H16" i="22"/>
  <c r="G16" i="22"/>
  <c r="F16" i="22"/>
  <c r="E16" i="22"/>
  <c r="D16" i="22"/>
  <c r="BN15" i="22"/>
  <c r="BM15" i="22"/>
  <c r="BL15" i="22"/>
  <c r="BK15" i="22"/>
  <c r="BJ15" i="22"/>
  <c r="BI15" i="22"/>
  <c r="BH15" i="22"/>
  <c r="BG15" i="22"/>
  <c r="BF15" i="22"/>
  <c r="BE15" i="22"/>
  <c r="BD15" i="22"/>
  <c r="BC15" i="22"/>
  <c r="BB15" i="22"/>
  <c r="BA15" i="22"/>
  <c r="AZ15" i="22"/>
  <c r="AY15" i="22"/>
  <c r="AX15" i="22"/>
  <c r="AW15" i="22"/>
  <c r="AV15" i="22"/>
  <c r="AU15" i="22"/>
  <c r="AT15" i="22"/>
  <c r="AS15" i="22"/>
  <c r="AR15" i="22"/>
  <c r="AQ15" i="22"/>
  <c r="AP15" i="22"/>
  <c r="AO15" i="22"/>
  <c r="AN15" i="22"/>
  <c r="AM15" i="22"/>
  <c r="AL15" i="22"/>
  <c r="AK15" i="22"/>
  <c r="AJ15" i="22"/>
  <c r="AI15" i="22"/>
  <c r="AH15" i="22"/>
  <c r="AG15" i="22"/>
  <c r="AF15" i="22"/>
  <c r="AE15" i="22"/>
  <c r="AD15" i="22"/>
  <c r="AC15" i="22"/>
  <c r="AB15" i="22"/>
  <c r="AA15" i="22"/>
  <c r="Z15" i="22"/>
  <c r="Y15" i="22"/>
  <c r="X15" i="22"/>
  <c r="W15" i="22"/>
  <c r="V15" i="22"/>
  <c r="U15" i="22"/>
  <c r="T15" i="22"/>
  <c r="S15" i="22"/>
  <c r="R15" i="22"/>
  <c r="Q15" i="22"/>
  <c r="P15" i="22"/>
  <c r="O15" i="22"/>
  <c r="N15" i="22"/>
  <c r="M15" i="22"/>
  <c r="L15" i="22"/>
  <c r="K15" i="22"/>
  <c r="J15" i="22"/>
  <c r="I15" i="22"/>
  <c r="H15" i="22"/>
  <c r="G15" i="22"/>
  <c r="F15" i="22"/>
  <c r="E15" i="22"/>
  <c r="D15" i="22"/>
  <c r="BN14" i="22"/>
  <c r="BM14" i="22"/>
  <c r="BL14" i="22"/>
  <c r="BK14" i="22"/>
  <c r="BJ14" i="22"/>
  <c r="BI14" i="22"/>
  <c r="BH14" i="22"/>
  <c r="BG14" i="22"/>
  <c r="BF14" i="22"/>
  <c r="BE14" i="22"/>
  <c r="BD14" i="22"/>
  <c r="BC14" i="22"/>
  <c r="BB14" i="22"/>
  <c r="BA14" i="22"/>
  <c r="AZ14" i="22"/>
  <c r="AY14" i="22"/>
  <c r="AX14" i="22"/>
  <c r="AW14" i="22"/>
  <c r="AV14" i="22"/>
  <c r="AU14" i="22"/>
  <c r="AT14" i="22"/>
  <c r="AS14" i="22"/>
  <c r="AR14" i="22"/>
  <c r="AQ14" i="22"/>
  <c r="AP14" i="22"/>
  <c r="AO14" i="22"/>
  <c r="AN14" i="22"/>
  <c r="AM14" i="22"/>
  <c r="AL14" i="22"/>
  <c r="AK14" i="22"/>
  <c r="AJ14" i="22"/>
  <c r="AI14" i="22"/>
  <c r="AH14" i="22"/>
  <c r="AG14" i="22"/>
  <c r="AF14" i="22"/>
  <c r="AE14" i="22"/>
  <c r="AD14" i="22"/>
  <c r="AC14" i="22"/>
  <c r="AB14" i="22"/>
  <c r="AA14" i="22"/>
  <c r="Z14" i="22"/>
  <c r="Y14" i="22"/>
  <c r="X14" i="22"/>
  <c r="W14" i="22"/>
  <c r="V14" i="22"/>
  <c r="U14" i="22"/>
  <c r="T14" i="22"/>
  <c r="S14" i="22"/>
  <c r="R14" i="22"/>
  <c r="Q14" i="22"/>
  <c r="P14" i="22"/>
  <c r="O14" i="22"/>
  <c r="N14" i="22"/>
  <c r="M14" i="22"/>
  <c r="L14" i="22"/>
  <c r="K14" i="22"/>
  <c r="J14" i="22"/>
  <c r="I14" i="22"/>
  <c r="H14" i="22"/>
  <c r="G14" i="22"/>
  <c r="F14" i="22"/>
  <c r="E14" i="22"/>
  <c r="D14" i="22"/>
  <c r="BN13" i="22"/>
  <c r="BM13" i="22"/>
  <c r="BL13" i="22"/>
  <c r="BK13" i="22"/>
  <c r="BJ13" i="22"/>
  <c r="BI13" i="22"/>
  <c r="BH13" i="22"/>
  <c r="BG13" i="22"/>
  <c r="BF13" i="22"/>
  <c r="BE13" i="22"/>
  <c r="BD13" i="22"/>
  <c r="BC13" i="22"/>
  <c r="BB13" i="22"/>
  <c r="BA13" i="22"/>
  <c r="AZ13" i="22"/>
  <c r="AY13" i="22"/>
  <c r="AX13" i="22"/>
  <c r="AW13" i="22"/>
  <c r="AV13" i="22"/>
  <c r="AU13" i="22"/>
  <c r="AT13" i="22"/>
  <c r="AS13" i="22"/>
  <c r="AR13" i="22"/>
  <c r="AQ13" i="22"/>
  <c r="AP13" i="22"/>
  <c r="AO13" i="22"/>
  <c r="AN13" i="22"/>
  <c r="AM13" i="22"/>
  <c r="AL13" i="22"/>
  <c r="AK13" i="22"/>
  <c r="AJ13" i="22"/>
  <c r="AI13" i="22"/>
  <c r="AH13" i="22"/>
  <c r="AG13" i="22"/>
  <c r="AF13" i="22"/>
  <c r="AE13" i="22"/>
  <c r="AD13" i="22"/>
  <c r="AC13" i="22"/>
  <c r="AB13" i="22"/>
  <c r="AA13" i="22"/>
  <c r="Z13" i="22"/>
  <c r="Y13" i="22"/>
  <c r="X13" i="22"/>
  <c r="W13" i="22"/>
  <c r="V13" i="22"/>
  <c r="U13" i="22"/>
  <c r="T13" i="22"/>
  <c r="S13" i="22"/>
  <c r="R13" i="22"/>
  <c r="Q13" i="22"/>
  <c r="P13" i="22"/>
  <c r="O13" i="22"/>
  <c r="N13" i="22"/>
  <c r="M13" i="22"/>
  <c r="L13" i="22"/>
  <c r="K13" i="22"/>
  <c r="J13" i="22"/>
  <c r="I13" i="22"/>
  <c r="H13" i="22"/>
  <c r="G13" i="22"/>
  <c r="F13" i="22"/>
  <c r="E13" i="22"/>
  <c r="D13" i="22"/>
  <c r="E58" i="22"/>
  <c r="F58" i="22"/>
  <c r="G58" i="22"/>
  <c r="H58" i="22"/>
  <c r="I58" i="22"/>
  <c r="J58" i="22"/>
  <c r="K58" i="22"/>
  <c r="L58" i="22"/>
  <c r="M58" i="22"/>
  <c r="N58" i="22"/>
  <c r="O58" i="22"/>
  <c r="P58" i="22"/>
  <c r="Q58" i="22"/>
  <c r="R58" i="22"/>
  <c r="S58" i="22"/>
  <c r="T58" i="22"/>
  <c r="U58" i="22"/>
  <c r="V58" i="22"/>
  <c r="D58" i="22"/>
  <c r="C12" i="4"/>
  <c r="C11" i="4"/>
  <c r="D18" i="19"/>
  <c r="D13" i="19"/>
  <c r="D14" i="19"/>
  <c r="D15" i="19"/>
  <c r="D12" i="19"/>
  <c r="D11" i="19"/>
  <c r="C11" i="19"/>
  <c r="D18" i="18"/>
  <c r="D13" i="18"/>
  <c r="D14" i="18"/>
  <c r="D15" i="18"/>
  <c r="D12" i="18"/>
  <c r="D11" i="18"/>
  <c r="C11" i="18"/>
  <c r="G13" i="17"/>
  <c r="G14" i="17"/>
  <c r="G12" i="17"/>
  <c r="F11" i="17"/>
  <c r="G11" i="17"/>
  <c r="E11" i="17"/>
  <c r="D13" i="16"/>
  <c r="D14" i="16"/>
  <c r="D12" i="16"/>
  <c r="D11" i="16"/>
  <c r="C11" i="16"/>
  <c r="D13" i="15"/>
  <c r="D14" i="15"/>
  <c r="D12" i="15"/>
  <c r="D11" i="15"/>
  <c r="C11" i="15"/>
  <c r="C12" i="14"/>
  <c r="C13" i="14"/>
  <c r="C14" i="14"/>
  <c r="C11" i="14"/>
  <c r="I14" i="13"/>
  <c r="J14" i="13"/>
  <c r="K14" i="13"/>
  <c r="I15" i="13"/>
  <c r="J15" i="13"/>
  <c r="K15" i="13"/>
  <c r="H15" i="13"/>
  <c r="H14" i="13"/>
  <c r="F11" i="13"/>
  <c r="G11" i="13" s="1"/>
  <c r="H11" i="13" s="1"/>
  <c r="I11" i="13" s="1"/>
  <c r="J11" i="13" s="1"/>
  <c r="K11" i="13" s="1"/>
  <c r="F12" i="13"/>
  <c r="G12" i="13" s="1"/>
  <c r="H12" i="13" s="1"/>
  <c r="I12" i="13" s="1"/>
  <c r="J12" i="13" s="1"/>
  <c r="K12" i="13" s="1"/>
  <c r="F13" i="13"/>
  <c r="G13" i="13"/>
  <c r="H13" i="13" s="1"/>
  <c r="I13" i="13" s="1"/>
  <c r="J13" i="13" s="1"/>
  <c r="K13" i="13" s="1"/>
  <c r="E12" i="13"/>
  <c r="E13" i="13"/>
  <c r="E11" i="13"/>
  <c r="K16" i="12"/>
  <c r="J16" i="12"/>
  <c r="J11" i="12"/>
  <c r="K11" i="12" s="1"/>
  <c r="J12" i="12"/>
  <c r="K12" i="12"/>
  <c r="J13" i="12"/>
  <c r="K13" i="12"/>
  <c r="I12" i="12"/>
  <c r="I13" i="12"/>
  <c r="I11" i="12"/>
  <c r="R16" i="11"/>
  <c r="Q16" i="11"/>
  <c r="R11" i="11"/>
  <c r="R12" i="11"/>
  <c r="R13" i="11"/>
  <c r="Q12" i="11"/>
  <c r="Q13" i="11"/>
  <c r="Q11" i="11"/>
  <c r="H16" i="2"/>
  <c r="I16" i="2" s="1"/>
  <c r="G16" i="2"/>
  <c r="G11" i="2"/>
  <c r="H11" i="2"/>
  <c r="I11" i="2"/>
  <c r="G12" i="2"/>
  <c r="H12" i="2"/>
  <c r="I12" i="2"/>
  <c r="G13" i="2"/>
  <c r="H13" i="2"/>
  <c r="I13" i="2" s="1"/>
  <c r="F12" i="2"/>
  <c r="F13" i="2"/>
  <c r="F11" i="2"/>
  <c r="D28" i="22" l="1"/>
  <c r="D29" i="22"/>
  <c r="E29" i="22" s="1"/>
  <c r="D30" i="22"/>
  <c r="E30" i="22" s="1"/>
  <c r="F30" i="22" s="1"/>
  <c r="G30" i="22" s="1"/>
  <c r="D31" i="22"/>
  <c r="E31" i="22" s="1"/>
  <c r="F31" i="22" s="1"/>
  <c r="D32" i="22"/>
  <c r="D33" i="22"/>
  <c r="D34" i="22"/>
  <c r="D35" i="22"/>
  <c r="D36" i="22"/>
  <c r="D37" i="22"/>
  <c r="E37" i="22" s="1"/>
  <c r="F37" i="22" s="1"/>
  <c r="G37" i="22" s="1"/>
  <c r="H37" i="22" s="1"/>
  <c r="D38" i="22"/>
  <c r="E38" i="22" s="1"/>
  <c r="F38" i="22" s="1"/>
  <c r="G38" i="22" s="1"/>
  <c r="H38" i="22" s="1"/>
  <c r="I38" i="22" s="1"/>
  <c r="D39" i="22"/>
  <c r="D27" i="22"/>
  <c r="E27" i="22" s="1"/>
  <c r="F27" i="22" s="1"/>
  <c r="G27" i="22" s="1"/>
  <c r="B28" i="22"/>
  <c r="B29" i="22"/>
  <c r="B30" i="22"/>
  <c r="B31" i="22"/>
  <c r="B32" i="22"/>
  <c r="B33" i="22"/>
  <c r="B34" i="22"/>
  <c r="B35" i="22"/>
  <c r="B36" i="22"/>
  <c r="B37" i="22"/>
  <c r="B38" i="22"/>
  <c r="B39" i="22"/>
  <c r="B27" i="22"/>
  <c r="E41" i="22"/>
  <c r="G31" i="22" l="1"/>
  <c r="H31" i="22" s="1"/>
  <c r="I31" i="22" s="1"/>
  <c r="J31" i="22" s="1"/>
  <c r="K31" i="22" s="1"/>
  <c r="L31" i="22" s="1"/>
  <c r="M31" i="22" s="1"/>
  <c r="N31" i="22" s="1"/>
  <c r="O31" i="22" s="1"/>
  <c r="P31" i="22" s="1"/>
  <c r="Q31" i="22" s="1"/>
  <c r="R31" i="22" s="1"/>
  <c r="S31" i="22" s="1"/>
  <c r="T31" i="22" s="1"/>
  <c r="U31" i="22" s="1"/>
  <c r="V31" i="22" s="1"/>
  <c r="W31" i="22" s="1"/>
  <c r="X31" i="22" s="1"/>
  <c r="Y31" i="22" s="1"/>
  <c r="Z31" i="22" s="1"/>
  <c r="AA31" i="22" s="1"/>
  <c r="AB31" i="22" s="1"/>
  <c r="AC31" i="22" s="1"/>
  <c r="AD31" i="22" s="1"/>
  <c r="AE31" i="22" s="1"/>
  <c r="AF31" i="22" s="1"/>
  <c r="AG31" i="22" s="1"/>
  <c r="AH31" i="22" s="1"/>
  <c r="AI31" i="22" s="1"/>
  <c r="AJ31" i="22" s="1"/>
  <c r="AK31" i="22" s="1"/>
  <c r="AL31" i="22" s="1"/>
  <c r="AM31" i="22" s="1"/>
  <c r="AN31" i="22" s="1"/>
  <c r="AO31" i="22" s="1"/>
  <c r="AP31" i="22" s="1"/>
  <c r="AQ31" i="22" s="1"/>
  <c r="AR31" i="22" s="1"/>
  <c r="AS31" i="22" s="1"/>
  <c r="AT31" i="22" s="1"/>
  <c r="AU31" i="22" s="1"/>
  <c r="AV31" i="22" s="1"/>
  <c r="AW31" i="22" s="1"/>
  <c r="AX31" i="22" s="1"/>
  <c r="AY31" i="22" s="1"/>
  <c r="AZ31" i="22" s="1"/>
  <c r="BA31" i="22" s="1"/>
  <c r="BB31" i="22" s="1"/>
  <c r="BC31" i="22" s="1"/>
  <c r="BD31" i="22" s="1"/>
  <c r="BE31" i="22" s="1"/>
  <c r="BF31" i="22" s="1"/>
  <c r="BG31" i="22" s="1"/>
  <c r="BH31" i="22" s="1"/>
  <c r="BI31" i="22" s="1"/>
  <c r="BJ31" i="22" s="1"/>
  <c r="BK31" i="22" s="1"/>
  <c r="BL31" i="22" s="1"/>
  <c r="BM31" i="22" s="1"/>
  <c r="BN31" i="22" s="1"/>
  <c r="E33" i="22"/>
  <c r="F33" i="22" s="1"/>
  <c r="G33" i="22" s="1"/>
  <c r="H33" i="22" s="1"/>
  <c r="I33" i="22" s="1"/>
  <c r="J33" i="22" s="1"/>
  <c r="K33" i="22" s="1"/>
  <c r="L33" i="22" s="1"/>
  <c r="M33" i="22" s="1"/>
  <c r="N33" i="22" s="1"/>
  <c r="O33" i="22" s="1"/>
  <c r="P33" i="22" s="1"/>
  <c r="Q33" i="22" s="1"/>
  <c r="R33" i="22" s="1"/>
  <c r="S33" i="22" s="1"/>
  <c r="T33" i="22" s="1"/>
  <c r="U33" i="22" s="1"/>
  <c r="V33" i="22" s="1"/>
  <c r="W33" i="22" s="1"/>
  <c r="X33" i="22" s="1"/>
  <c r="Y33" i="22" s="1"/>
  <c r="Z33" i="22" s="1"/>
  <c r="AA33" i="22" s="1"/>
  <c r="AB33" i="22" s="1"/>
  <c r="AC33" i="22" s="1"/>
  <c r="AD33" i="22" s="1"/>
  <c r="AE33" i="22" s="1"/>
  <c r="AF33" i="22" s="1"/>
  <c r="AG33" i="22" s="1"/>
  <c r="AH33" i="22" s="1"/>
  <c r="AI33" i="22" s="1"/>
  <c r="AJ33" i="22" s="1"/>
  <c r="AK33" i="22" s="1"/>
  <c r="AL33" i="22" s="1"/>
  <c r="AM33" i="22" s="1"/>
  <c r="AN33" i="22" s="1"/>
  <c r="AO33" i="22" s="1"/>
  <c r="AP33" i="22" s="1"/>
  <c r="AQ33" i="22" s="1"/>
  <c r="AR33" i="22" s="1"/>
  <c r="AS33" i="22" s="1"/>
  <c r="AT33" i="22" s="1"/>
  <c r="AU33" i="22" s="1"/>
  <c r="AV33" i="22" s="1"/>
  <c r="AW33" i="22" s="1"/>
  <c r="AX33" i="22" s="1"/>
  <c r="AY33" i="22" s="1"/>
  <c r="AZ33" i="22" s="1"/>
  <c r="BA33" i="22" s="1"/>
  <c r="BB33" i="22" s="1"/>
  <c r="BC33" i="22" s="1"/>
  <c r="BD33" i="22" s="1"/>
  <c r="BE33" i="22" s="1"/>
  <c r="BF33" i="22" s="1"/>
  <c r="BG33" i="22" s="1"/>
  <c r="BH33" i="22" s="1"/>
  <c r="BI33" i="22" s="1"/>
  <c r="BJ33" i="22" s="1"/>
  <c r="BK33" i="22" s="1"/>
  <c r="BL33" i="22" s="1"/>
  <c r="BM33" i="22" s="1"/>
  <c r="BN33" i="22" s="1"/>
  <c r="H27" i="22"/>
  <c r="I27" i="22" s="1"/>
  <c r="J27" i="22" s="1"/>
  <c r="K27" i="22" s="1"/>
  <c r="L27" i="22" s="1"/>
  <c r="M27" i="22" s="1"/>
  <c r="N27" i="22" s="1"/>
  <c r="O27" i="22" s="1"/>
  <c r="P27" i="22" s="1"/>
  <c r="Q27" i="22" s="1"/>
  <c r="R27" i="22" s="1"/>
  <c r="S27" i="22" s="1"/>
  <c r="T27" i="22" s="1"/>
  <c r="U27" i="22" s="1"/>
  <c r="V27" i="22" s="1"/>
  <c r="W27" i="22" s="1"/>
  <c r="X27" i="22" s="1"/>
  <c r="Y27" i="22" s="1"/>
  <c r="Z27" i="22" s="1"/>
  <c r="AA27" i="22" s="1"/>
  <c r="AB27" i="22" s="1"/>
  <c r="AC27" i="22" s="1"/>
  <c r="AD27" i="22" s="1"/>
  <c r="AE27" i="22" s="1"/>
  <c r="AF27" i="22" s="1"/>
  <c r="AG27" i="22" s="1"/>
  <c r="AH27" i="22" s="1"/>
  <c r="AI27" i="22" s="1"/>
  <c r="AJ27" i="22" s="1"/>
  <c r="AK27" i="22" s="1"/>
  <c r="AL27" i="22" s="1"/>
  <c r="AM27" i="22" s="1"/>
  <c r="AN27" i="22" s="1"/>
  <c r="AO27" i="22" s="1"/>
  <c r="AP27" i="22" s="1"/>
  <c r="AQ27" i="22" s="1"/>
  <c r="AR27" i="22" s="1"/>
  <c r="AS27" i="22" s="1"/>
  <c r="AT27" i="22" s="1"/>
  <c r="AU27" i="22" s="1"/>
  <c r="AV27" i="22" s="1"/>
  <c r="AW27" i="22" s="1"/>
  <c r="AX27" i="22" s="1"/>
  <c r="AY27" i="22" s="1"/>
  <c r="AZ27" i="22" s="1"/>
  <c r="BA27" i="22" s="1"/>
  <c r="BB27" i="22" s="1"/>
  <c r="BC27" i="22" s="1"/>
  <c r="BD27" i="22" s="1"/>
  <c r="BE27" i="22" s="1"/>
  <c r="BF27" i="22" s="1"/>
  <c r="BG27" i="22" s="1"/>
  <c r="BH27" i="22" s="1"/>
  <c r="BI27" i="22" s="1"/>
  <c r="BJ27" i="22" s="1"/>
  <c r="BK27" i="22" s="1"/>
  <c r="BL27" i="22" s="1"/>
  <c r="BM27" i="22" s="1"/>
  <c r="BN27" i="22" s="1"/>
  <c r="H30" i="22"/>
  <c r="I30" i="22" s="1"/>
  <c r="J30" i="22" s="1"/>
  <c r="K30" i="22" s="1"/>
  <c r="L30" i="22" s="1"/>
  <c r="M30" i="22" s="1"/>
  <c r="N30" i="22" s="1"/>
  <c r="O30" i="22" s="1"/>
  <c r="P30" i="22" s="1"/>
  <c r="Q30" i="22" s="1"/>
  <c r="R30" i="22" s="1"/>
  <c r="S30" i="22" s="1"/>
  <c r="T30" i="22" s="1"/>
  <c r="U30" i="22" s="1"/>
  <c r="V30" i="22" s="1"/>
  <c r="W30" i="22" s="1"/>
  <c r="X30" i="22" s="1"/>
  <c r="Y30" i="22" s="1"/>
  <c r="Z30" i="22" s="1"/>
  <c r="AA30" i="22" s="1"/>
  <c r="AB30" i="22" s="1"/>
  <c r="AC30" i="22" s="1"/>
  <c r="AD30" i="22" s="1"/>
  <c r="AE30" i="22" s="1"/>
  <c r="AF30" i="22" s="1"/>
  <c r="AG30" i="22" s="1"/>
  <c r="AH30" i="22" s="1"/>
  <c r="AI30" i="22" s="1"/>
  <c r="AJ30" i="22" s="1"/>
  <c r="AK30" i="22" s="1"/>
  <c r="AL30" i="22" s="1"/>
  <c r="AM30" i="22" s="1"/>
  <c r="AN30" i="22" s="1"/>
  <c r="AO30" i="22" s="1"/>
  <c r="AP30" i="22" s="1"/>
  <c r="AQ30" i="22" s="1"/>
  <c r="AR30" i="22" s="1"/>
  <c r="AS30" i="22" s="1"/>
  <c r="AT30" i="22" s="1"/>
  <c r="AU30" i="22" s="1"/>
  <c r="AV30" i="22" s="1"/>
  <c r="AW30" i="22" s="1"/>
  <c r="AX30" i="22" s="1"/>
  <c r="AY30" i="22" s="1"/>
  <c r="AZ30" i="22" s="1"/>
  <c r="BA30" i="22" s="1"/>
  <c r="BB30" i="22" s="1"/>
  <c r="BC30" i="22" s="1"/>
  <c r="BD30" i="22" s="1"/>
  <c r="BE30" i="22" s="1"/>
  <c r="BF30" i="22" s="1"/>
  <c r="BG30" i="22" s="1"/>
  <c r="BH30" i="22" s="1"/>
  <c r="BI30" i="22" s="1"/>
  <c r="BJ30" i="22" s="1"/>
  <c r="BK30" i="22" s="1"/>
  <c r="BL30" i="22" s="1"/>
  <c r="BM30" i="22" s="1"/>
  <c r="BN30" i="22" s="1"/>
  <c r="F29" i="22"/>
  <c r="G29" i="22" s="1"/>
  <c r="H29" i="22" s="1"/>
  <c r="I29" i="22" s="1"/>
  <c r="J29" i="22" s="1"/>
  <c r="K29" i="22" s="1"/>
  <c r="L29" i="22" s="1"/>
  <c r="M29" i="22" s="1"/>
  <c r="N29" i="22" s="1"/>
  <c r="O29" i="22" s="1"/>
  <c r="P29" i="22" s="1"/>
  <c r="Q29" i="22" s="1"/>
  <c r="R29" i="22" s="1"/>
  <c r="S29" i="22" s="1"/>
  <c r="T29" i="22" s="1"/>
  <c r="U29" i="22" s="1"/>
  <c r="V29" i="22" s="1"/>
  <c r="W29" i="22" s="1"/>
  <c r="X29" i="22" s="1"/>
  <c r="Y29" i="22" s="1"/>
  <c r="Z29" i="22" s="1"/>
  <c r="AA29" i="22" s="1"/>
  <c r="AB29" i="22" s="1"/>
  <c r="AC29" i="22" s="1"/>
  <c r="AD29" i="22" s="1"/>
  <c r="AE29" i="22" s="1"/>
  <c r="AF29" i="22" s="1"/>
  <c r="AG29" i="22" s="1"/>
  <c r="AH29" i="22" s="1"/>
  <c r="AI29" i="22" s="1"/>
  <c r="AJ29" i="22" s="1"/>
  <c r="AK29" i="22" s="1"/>
  <c r="AL29" i="22" s="1"/>
  <c r="AM29" i="22" s="1"/>
  <c r="AN29" i="22" s="1"/>
  <c r="AO29" i="22" s="1"/>
  <c r="AP29" i="22" s="1"/>
  <c r="AQ29" i="22" s="1"/>
  <c r="AR29" i="22" s="1"/>
  <c r="AS29" i="22" s="1"/>
  <c r="AT29" i="22" s="1"/>
  <c r="AU29" i="22" s="1"/>
  <c r="AV29" i="22" s="1"/>
  <c r="AW29" i="22" s="1"/>
  <c r="AX29" i="22" s="1"/>
  <c r="AY29" i="22" s="1"/>
  <c r="AZ29" i="22" s="1"/>
  <c r="BA29" i="22" s="1"/>
  <c r="BB29" i="22" s="1"/>
  <c r="BC29" i="22" s="1"/>
  <c r="BD29" i="22" s="1"/>
  <c r="BE29" i="22" s="1"/>
  <c r="BF29" i="22" s="1"/>
  <c r="BG29" i="22" s="1"/>
  <c r="BH29" i="22" s="1"/>
  <c r="BI29" i="22" s="1"/>
  <c r="BJ29" i="22" s="1"/>
  <c r="BK29" i="22" s="1"/>
  <c r="BL29" i="22" s="1"/>
  <c r="BM29" i="22" s="1"/>
  <c r="BN29" i="22" s="1"/>
  <c r="J38" i="22"/>
  <c r="K38" i="22" s="1"/>
  <c r="L38" i="22" s="1"/>
  <c r="M38" i="22" s="1"/>
  <c r="N38" i="22" s="1"/>
  <c r="O38" i="22" s="1"/>
  <c r="P38" i="22" s="1"/>
  <c r="Q38" i="22" s="1"/>
  <c r="R38" i="22" s="1"/>
  <c r="S38" i="22" s="1"/>
  <c r="T38" i="22" s="1"/>
  <c r="U38" i="22" s="1"/>
  <c r="V38" i="22" s="1"/>
  <c r="W38" i="22" s="1"/>
  <c r="X38" i="22" s="1"/>
  <c r="Y38" i="22" s="1"/>
  <c r="Z38" i="22" s="1"/>
  <c r="AA38" i="22" s="1"/>
  <c r="AB38" i="22" s="1"/>
  <c r="AC38" i="22" s="1"/>
  <c r="AD38" i="22" s="1"/>
  <c r="AE38" i="22" s="1"/>
  <c r="AF38" i="22" s="1"/>
  <c r="AG38" i="22" s="1"/>
  <c r="AH38" i="22" s="1"/>
  <c r="AI38" i="22" s="1"/>
  <c r="AJ38" i="22" s="1"/>
  <c r="AK38" i="22" s="1"/>
  <c r="AL38" i="22" s="1"/>
  <c r="AM38" i="22" s="1"/>
  <c r="AN38" i="22" s="1"/>
  <c r="AO38" i="22" s="1"/>
  <c r="AP38" i="22" s="1"/>
  <c r="AQ38" i="22" s="1"/>
  <c r="AR38" i="22" s="1"/>
  <c r="AS38" i="22" s="1"/>
  <c r="AT38" i="22" s="1"/>
  <c r="AU38" i="22" s="1"/>
  <c r="AV38" i="22" s="1"/>
  <c r="AW38" i="22" s="1"/>
  <c r="AX38" i="22" s="1"/>
  <c r="AY38" i="22" s="1"/>
  <c r="AZ38" i="22" s="1"/>
  <c r="BA38" i="22" s="1"/>
  <c r="BB38" i="22" s="1"/>
  <c r="BC38" i="22" s="1"/>
  <c r="BD38" i="22" s="1"/>
  <c r="BE38" i="22" s="1"/>
  <c r="BF38" i="22" s="1"/>
  <c r="BG38" i="22" s="1"/>
  <c r="BH38" i="22" s="1"/>
  <c r="BI38" i="22" s="1"/>
  <c r="BJ38" i="22" s="1"/>
  <c r="BK38" i="22" s="1"/>
  <c r="BL38" i="22" s="1"/>
  <c r="BM38" i="22" s="1"/>
  <c r="BN38" i="22" s="1"/>
  <c r="E34" i="22"/>
  <c r="F34" i="22" s="1"/>
  <c r="G34" i="22" s="1"/>
  <c r="H34" i="22" s="1"/>
  <c r="I34" i="22" s="1"/>
  <c r="J34" i="22" s="1"/>
  <c r="K34" i="22" s="1"/>
  <c r="L34" i="22" s="1"/>
  <c r="M34" i="22" s="1"/>
  <c r="N34" i="22" s="1"/>
  <c r="O34" i="22" s="1"/>
  <c r="P34" i="22" s="1"/>
  <c r="Q34" i="22" s="1"/>
  <c r="R34" i="22" s="1"/>
  <c r="S34" i="22" s="1"/>
  <c r="T34" i="22" s="1"/>
  <c r="U34" i="22" s="1"/>
  <c r="V34" i="22" s="1"/>
  <c r="W34" i="22" s="1"/>
  <c r="X34" i="22" s="1"/>
  <c r="Y34" i="22" s="1"/>
  <c r="Z34" i="22" s="1"/>
  <c r="AA34" i="22" s="1"/>
  <c r="AB34" i="22" s="1"/>
  <c r="AC34" i="22" s="1"/>
  <c r="AD34" i="22" s="1"/>
  <c r="AE34" i="22" s="1"/>
  <c r="AF34" i="22" s="1"/>
  <c r="AG34" i="22" s="1"/>
  <c r="AH34" i="22" s="1"/>
  <c r="AI34" i="22" s="1"/>
  <c r="AJ34" i="22" s="1"/>
  <c r="AK34" i="22" s="1"/>
  <c r="AL34" i="22" s="1"/>
  <c r="AM34" i="22" s="1"/>
  <c r="AN34" i="22" s="1"/>
  <c r="AO34" i="22" s="1"/>
  <c r="AP34" i="22" s="1"/>
  <c r="AQ34" i="22" s="1"/>
  <c r="AR34" i="22" s="1"/>
  <c r="AS34" i="22" s="1"/>
  <c r="AT34" i="22" s="1"/>
  <c r="AU34" i="22" s="1"/>
  <c r="AV34" i="22" s="1"/>
  <c r="AW34" i="22" s="1"/>
  <c r="AX34" i="22" s="1"/>
  <c r="AY34" i="22" s="1"/>
  <c r="AZ34" i="22" s="1"/>
  <c r="BA34" i="22" s="1"/>
  <c r="BB34" i="22" s="1"/>
  <c r="BC34" i="22" s="1"/>
  <c r="BD34" i="22" s="1"/>
  <c r="BE34" i="22" s="1"/>
  <c r="BF34" i="22" s="1"/>
  <c r="BG34" i="22" s="1"/>
  <c r="BH34" i="22" s="1"/>
  <c r="BI34" i="22" s="1"/>
  <c r="BJ34" i="22" s="1"/>
  <c r="BK34" i="22" s="1"/>
  <c r="BL34" i="22" s="1"/>
  <c r="BM34" i="22" s="1"/>
  <c r="BN34" i="22" s="1"/>
  <c r="I37" i="22"/>
  <c r="J37" i="22" s="1"/>
  <c r="K37" i="22" s="1"/>
  <c r="L37" i="22" s="1"/>
  <c r="M37" i="22" s="1"/>
  <c r="N37" i="22" s="1"/>
  <c r="O37" i="22" s="1"/>
  <c r="P37" i="22" s="1"/>
  <c r="Q37" i="22" s="1"/>
  <c r="R37" i="22" s="1"/>
  <c r="S37" i="22" s="1"/>
  <c r="T37" i="22" s="1"/>
  <c r="U37" i="22" s="1"/>
  <c r="V37" i="22" s="1"/>
  <c r="W37" i="22" s="1"/>
  <c r="X37" i="22" s="1"/>
  <c r="Y37" i="22" s="1"/>
  <c r="Z37" i="22" s="1"/>
  <c r="AA37" i="22" s="1"/>
  <c r="AB37" i="22" s="1"/>
  <c r="AC37" i="22" s="1"/>
  <c r="AD37" i="22" s="1"/>
  <c r="AE37" i="22" s="1"/>
  <c r="AF37" i="22" s="1"/>
  <c r="AG37" i="22" s="1"/>
  <c r="AH37" i="22" s="1"/>
  <c r="AI37" i="22" s="1"/>
  <c r="AJ37" i="22" s="1"/>
  <c r="AK37" i="22" s="1"/>
  <c r="AL37" i="22" s="1"/>
  <c r="AM37" i="22" s="1"/>
  <c r="AN37" i="22" s="1"/>
  <c r="AO37" i="22" s="1"/>
  <c r="AP37" i="22" s="1"/>
  <c r="AQ37" i="22" s="1"/>
  <c r="AR37" i="22" s="1"/>
  <c r="AS37" i="22" s="1"/>
  <c r="AT37" i="22" s="1"/>
  <c r="AU37" i="22" s="1"/>
  <c r="AV37" i="22" s="1"/>
  <c r="AW37" i="22" s="1"/>
  <c r="AX37" i="22" s="1"/>
  <c r="AY37" i="22" s="1"/>
  <c r="AZ37" i="22" s="1"/>
  <c r="BA37" i="22" s="1"/>
  <c r="BB37" i="22" s="1"/>
  <c r="BC37" i="22" s="1"/>
  <c r="BD37" i="22" s="1"/>
  <c r="BE37" i="22" s="1"/>
  <c r="BF37" i="22" s="1"/>
  <c r="BG37" i="22" s="1"/>
  <c r="BH37" i="22" s="1"/>
  <c r="BI37" i="22" s="1"/>
  <c r="BJ37" i="22" s="1"/>
  <c r="BK37" i="22" s="1"/>
  <c r="BL37" i="22" s="1"/>
  <c r="BM37" i="22" s="1"/>
  <c r="BN37" i="22" s="1"/>
  <c r="E32" i="22"/>
  <c r="F32" i="22" s="1"/>
  <c r="G32" i="22" s="1"/>
  <c r="H32" i="22" s="1"/>
  <c r="I32" i="22" s="1"/>
  <c r="J32" i="22" s="1"/>
  <c r="K32" i="22" s="1"/>
  <c r="L32" i="22" s="1"/>
  <c r="M32" i="22" s="1"/>
  <c r="N32" i="22" s="1"/>
  <c r="O32" i="22" s="1"/>
  <c r="P32" i="22" s="1"/>
  <c r="Q32" i="22" s="1"/>
  <c r="R32" i="22" s="1"/>
  <c r="S32" i="22" s="1"/>
  <c r="T32" i="22" s="1"/>
  <c r="U32" i="22" s="1"/>
  <c r="V32" i="22" s="1"/>
  <c r="W32" i="22" s="1"/>
  <c r="X32" i="22" s="1"/>
  <c r="Y32" i="22" s="1"/>
  <c r="Z32" i="22" s="1"/>
  <c r="AA32" i="22" s="1"/>
  <c r="AB32" i="22" s="1"/>
  <c r="AC32" i="22" s="1"/>
  <c r="AD32" i="22" s="1"/>
  <c r="AE32" i="22" s="1"/>
  <c r="AF32" i="22" s="1"/>
  <c r="AG32" i="22" s="1"/>
  <c r="AH32" i="22" s="1"/>
  <c r="AI32" i="22" s="1"/>
  <c r="AJ32" i="22" s="1"/>
  <c r="AK32" i="22" s="1"/>
  <c r="AL32" i="22" s="1"/>
  <c r="AM32" i="22" s="1"/>
  <c r="AN32" i="22" s="1"/>
  <c r="AO32" i="22" s="1"/>
  <c r="AP32" i="22" s="1"/>
  <c r="AQ32" i="22" s="1"/>
  <c r="AR32" i="22" s="1"/>
  <c r="AS32" i="22" s="1"/>
  <c r="AT32" i="22" s="1"/>
  <c r="AU32" i="22" s="1"/>
  <c r="AV32" i="22" s="1"/>
  <c r="AW32" i="22" s="1"/>
  <c r="AX32" i="22" s="1"/>
  <c r="AY32" i="22" s="1"/>
  <c r="AZ32" i="22" s="1"/>
  <c r="BA32" i="22" s="1"/>
  <c r="BB32" i="22" s="1"/>
  <c r="BC32" i="22" s="1"/>
  <c r="BD32" i="22" s="1"/>
  <c r="BE32" i="22" s="1"/>
  <c r="BF32" i="22" s="1"/>
  <c r="BG32" i="22" s="1"/>
  <c r="BH32" i="22" s="1"/>
  <c r="BI32" i="22" s="1"/>
  <c r="BJ32" i="22" s="1"/>
  <c r="BK32" i="22" s="1"/>
  <c r="BL32" i="22" s="1"/>
  <c r="BM32" i="22" s="1"/>
  <c r="BN32" i="22" s="1"/>
  <c r="E35" i="22"/>
  <c r="E28" i="22"/>
  <c r="F28" i="22" s="1"/>
  <c r="G28" i="22" s="1"/>
  <c r="H28" i="22" s="1"/>
  <c r="I28" i="22" s="1"/>
  <c r="J28" i="22" s="1"/>
  <c r="K28" i="22" s="1"/>
  <c r="L28" i="22" s="1"/>
  <c r="M28" i="22" s="1"/>
  <c r="N28" i="22" s="1"/>
  <c r="O28" i="22" s="1"/>
  <c r="P28" i="22" s="1"/>
  <c r="Q28" i="22" s="1"/>
  <c r="R28" i="22" s="1"/>
  <c r="S28" i="22" s="1"/>
  <c r="T28" i="22" s="1"/>
  <c r="U28" i="22" s="1"/>
  <c r="V28" i="22" s="1"/>
  <c r="W28" i="22" s="1"/>
  <c r="X28" i="22" s="1"/>
  <c r="Y28" i="22" s="1"/>
  <c r="Z28" i="22" s="1"/>
  <c r="AA28" i="22" s="1"/>
  <c r="AB28" i="22" s="1"/>
  <c r="AC28" i="22" s="1"/>
  <c r="AD28" i="22" s="1"/>
  <c r="AE28" i="22" s="1"/>
  <c r="AF28" i="22" s="1"/>
  <c r="AG28" i="22" s="1"/>
  <c r="AH28" i="22" s="1"/>
  <c r="AI28" i="22" s="1"/>
  <c r="AJ28" i="22" s="1"/>
  <c r="AK28" i="22" s="1"/>
  <c r="AL28" i="22" s="1"/>
  <c r="AM28" i="22" s="1"/>
  <c r="AN28" i="22" s="1"/>
  <c r="AO28" i="22" s="1"/>
  <c r="AP28" i="22" s="1"/>
  <c r="AQ28" i="22" s="1"/>
  <c r="AR28" i="22" s="1"/>
  <c r="AS28" i="22" s="1"/>
  <c r="AT28" i="22" s="1"/>
  <c r="AU28" i="22" s="1"/>
  <c r="AV28" i="22" s="1"/>
  <c r="AW28" i="22" s="1"/>
  <c r="AX28" i="22" s="1"/>
  <c r="AY28" i="22" s="1"/>
  <c r="AZ28" i="22" s="1"/>
  <c r="BA28" i="22" s="1"/>
  <c r="BB28" i="22" s="1"/>
  <c r="BC28" i="22" s="1"/>
  <c r="BD28" i="22" s="1"/>
  <c r="BE28" i="22" s="1"/>
  <c r="BF28" i="22" s="1"/>
  <c r="BG28" i="22" s="1"/>
  <c r="BH28" i="22" s="1"/>
  <c r="BI28" i="22" s="1"/>
  <c r="BJ28" i="22" s="1"/>
  <c r="BK28" i="22" s="1"/>
  <c r="BL28" i="22" s="1"/>
  <c r="BM28" i="22" s="1"/>
  <c r="BN28" i="22" s="1"/>
  <c r="E36" i="22"/>
  <c r="F36" i="22" s="1"/>
  <c r="G36" i="22" s="1"/>
  <c r="H36" i="22" s="1"/>
  <c r="I36" i="22" s="1"/>
  <c r="J36" i="22" s="1"/>
  <c r="K36" i="22" s="1"/>
  <c r="L36" i="22" s="1"/>
  <c r="M36" i="22" s="1"/>
  <c r="N36" i="22" s="1"/>
  <c r="O36" i="22" s="1"/>
  <c r="P36" i="22" s="1"/>
  <c r="Q36" i="22" s="1"/>
  <c r="R36" i="22" s="1"/>
  <c r="S36" i="22" s="1"/>
  <c r="T36" i="22" s="1"/>
  <c r="U36" i="22" s="1"/>
  <c r="V36" i="22" s="1"/>
  <c r="W36" i="22" s="1"/>
  <c r="X36" i="22" s="1"/>
  <c r="Y36" i="22" s="1"/>
  <c r="Z36" i="22" s="1"/>
  <c r="AA36" i="22" s="1"/>
  <c r="AB36" i="22" s="1"/>
  <c r="AC36" i="22" s="1"/>
  <c r="AD36" i="22" s="1"/>
  <c r="AE36" i="22" s="1"/>
  <c r="AF36" i="22" s="1"/>
  <c r="AG36" i="22" s="1"/>
  <c r="AH36" i="22" s="1"/>
  <c r="AI36" i="22" s="1"/>
  <c r="AJ36" i="22" s="1"/>
  <c r="AK36" i="22" s="1"/>
  <c r="AL36" i="22" s="1"/>
  <c r="AM36" i="22" s="1"/>
  <c r="AN36" i="22" s="1"/>
  <c r="AO36" i="22" s="1"/>
  <c r="AP36" i="22" s="1"/>
  <c r="AQ36" i="22" s="1"/>
  <c r="AR36" i="22" s="1"/>
  <c r="AS36" i="22" s="1"/>
  <c r="AT36" i="22" s="1"/>
  <c r="AU36" i="22" s="1"/>
  <c r="AV36" i="22" s="1"/>
  <c r="AW36" i="22" s="1"/>
  <c r="AX36" i="22" s="1"/>
  <c r="AY36" i="22" s="1"/>
  <c r="AZ36" i="22" s="1"/>
  <c r="BA36" i="22" s="1"/>
  <c r="BB36" i="22" s="1"/>
  <c r="BC36" i="22" s="1"/>
  <c r="BD36" i="22" s="1"/>
  <c r="BE36" i="22" s="1"/>
  <c r="BF36" i="22" s="1"/>
  <c r="BG36" i="22" s="1"/>
  <c r="BH36" i="22" s="1"/>
  <c r="BI36" i="22" s="1"/>
  <c r="BJ36" i="22" s="1"/>
  <c r="BK36" i="22" s="1"/>
  <c r="BL36" i="22" s="1"/>
  <c r="BM36" i="22" s="1"/>
  <c r="BN36" i="22" s="1"/>
  <c r="D47" i="22"/>
  <c r="E39" i="22"/>
  <c r="F39" i="22" s="1"/>
  <c r="G39" i="22" s="1"/>
  <c r="H39" i="22" s="1"/>
  <c r="I39" i="22" s="1"/>
  <c r="J39" i="22" s="1"/>
  <c r="K39" i="22" s="1"/>
  <c r="L39" i="22" s="1"/>
  <c r="M39" i="22" s="1"/>
  <c r="N39" i="22" s="1"/>
  <c r="O39" i="22" s="1"/>
  <c r="P39" i="22" s="1"/>
  <c r="Q39" i="22" s="1"/>
  <c r="R39" i="22" s="1"/>
  <c r="S39" i="22" s="1"/>
  <c r="T39" i="22" s="1"/>
  <c r="U39" i="22" s="1"/>
  <c r="V39" i="22" s="1"/>
  <c r="W39" i="22" s="1"/>
  <c r="X39" i="22" s="1"/>
  <c r="Y39" i="22" s="1"/>
  <c r="Z39" i="22" s="1"/>
  <c r="AA39" i="22" s="1"/>
  <c r="AB39" i="22" s="1"/>
  <c r="AC39" i="22" s="1"/>
  <c r="AD39" i="22" s="1"/>
  <c r="AE39" i="22" s="1"/>
  <c r="AF39" i="22" s="1"/>
  <c r="AG39" i="22" s="1"/>
  <c r="AH39" i="22" s="1"/>
  <c r="AI39" i="22" s="1"/>
  <c r="AJ39" i="22" s="1"/>
  <c r="AK39" i="22" s="1"/>
  <c r="AL39" i="22" s="1"/>
  <c r="AM39" i="22" s="1"/>
  <c r="AN39" i="22" s="1"/>
  <c r="AO39" i="22" s="1"/>
  <c r="AP39" i="22" s="1"/>
  <c r="AQ39" i="22" s="1"/>
  <c r="AR39" i="22" s="1"/>
  <c r="AS39" i="22" s="1"/>
  <c r="AT39" i="22" s="1"/>
  <c r="AU39" i="22" s="1"/>
  <c r="AV39" i="22" s="1"/>
  <c r="AW39" i="22" s="1"/>
  <c r="AX39" i="22" s="1"/>
  <c r="AY39" i="22" s="1"/>
  <c r="AZ39" i="22" s="1"/>
  <c r="BA39" i="22" s="1"/>
  <c r="BB39" i="22" s="1"/>
  <c r="BC39" i="22" s="1"/>
  <c r="BD39" i="22" s="1"/>
  <c r="BE39" i="22" s="1"/>
  <c r="BF39" i="22" s="1"/>
  <c r="BG39" i="22" s="1"/>
  <c r="BH39" i="22" s="1"/>
  <c r="BI39" i="22" s="1"/>
  <c r="BJ39" i="22" s="1"/>
  <c r="BK39" i="22" s="1"/>
  <c r="BL39" i="22" s="1"/>
  <c r="BM39" i="22" s="1"/>
  <c r="BN39" i="22" s="1"/>
  <c r="B24" i="16"/>
  <c r="C24" i="16"/>
  <c r="D24" i="16"/>
  <c r="E24" i="16"/>
  <c r="F24" i="16"/>
  <c r="G24" i="16"/>
  <c r="H24" i="16"/>
  <c r="I24" i="16"/>
  <c r="J24" i="16"/>
  <c r="K24" i="16"/>
  <c r="K46" i="22" l="1"/>
  <c r="K45" i="22"/>
  <c r="F35" i="22"/>
  <c r="E47" i="22"/>
  <c r="E6" i="17"/>
  <c r="G35" i="22" l="1"/>
  <c r="F47" i="22"/>
  <c r="C27" i="4"/>
  <c r="D27" i="4"/>
  <c r="E27" i="4"/>
  <c r="F27" i="4"/>
  <c r="G27" i="4"/>
  <c r="H27" i="4"/>
  <c r="I27" i="4"/>
  <c r="J27" i="4"/>
  <c r="K27" i="4"/>
  <c r="L27" i="4"/>
  <c r="M27" i="4"/>
  <c r="N27" i="4"/>
  <c r="O27" i="4"/>
  <c r="P27" i="4"/>
  <c r="Q27" i="4"/>
  <c r="R27" i="4"/>
  <c r="S27" i="4"/>
  <c r="T27" i="4"/>
  <c r="U27" i="4"/>
  <c r="V27" i="4"/>
  <c r="B27" i="4"/>
  <c r="C26" i="19"/>
  <c r="D26" i="19"/>
  <c r="E26" i="19"/>
  <c r="F26" i="19"/>
  <c r="G26" i="19"/>
  <c r="H26" i="19"/>
  <c r="I26" i="19"/>
  <c r="J26" i="19"/>
  <c r="K26" i="19"/>
  <c r="L26" i="19"/>
  <c r="M26" i="19"/>
  <c r="N26" i="19"/>
  <c r="O26" i="19"/>
  <c r="P26" i="19"/>
  <c r="Q26" i="19"/>
  <c r="R26" i="19"/>
  <c r="S26" i="19"/>
  <c r="T26" i="19"/>
  <c r="U26" i="19"/>
  <c r="B26" i="19"/>
  <c r="C26" i="18"/>
  <c r="D26" i="18"/>
  <c r="E26" i="18"/>
  <c r="F26" i="18"/>
  <c r="G26" i="18"/>
  <c r="H26" i="18"/>
  <c r="I26" i="18"/>
  <c r="J26" i="18"/>
  <c r="K26" i="18"/>
  <c r="B26" i="18"/>
  <c r="C25" i="17"/>
  <c r="D25" i="17"/>
  <c r="E25" i="17"/>
  <c r="F25" i="17"/>
  <c r="G25" i="17"/>
  <c r="H25" i="17"/>
  <c r="I25" i="17"/>
  <c r="J25" i="17"/>
  <c r="K25" i="17"/>
  <c r="B25" i="17"/>
  <c r="C24" i="15"/>
  <c r="D24" i="15"/>
  <c r="E24" i="15"/>
  <c r="F24" i="15"/>
  <c r="G24" i="15"/>
  <c r="H24" i="15"/>
  <c r="I24" i="15"/>
  <c r="J24" i="15"/>
  <c r="K24" i="15"/>
  <c r="B24" i="15"/>
  <c r="C24" i="14"/>
  <c r="D24" i="14"/>
  <c r="E24" i="14"/>
  <c r="F24" i="14"/>
  <c r="G24" i="14"/>
  <c r="H24" i="14"/>
  <c r="I24" i="14"/>
  <c r="J24" i="14"/>
  <c r="K24" i="14"/>
  <c r="B24" i="14"/>
  <c r="C25" i="13"/>
  <c r="D25" i="13"/>
  <c r="E25" i="13"/>
  <c r="F25" i="13"/>
  <c r="G25" i="13"/>
  <c r="H25" i="13"/>
  <c r="I25" i="13"/>
  <c r="J25" i="13"/>
  <c r="K25" i="13"/>
  <c r="B25" i="13"/>
  <c r="C25" i="12"/>
  <c r="D25" i="12"/>
  <c r="E25" i="12"/>
  <c r="F25" i="12"/>
  <c r="G25" i="12"/>
  <c r="H25" i="12"/>
  <c r="B25" i="12"/>
  <c r="C24" i="11"/>
  <c r="E24" i="11"/>
  <c r="D24" i="11"/>
  <c r="B24" i="11"/>
  <c r="H35" i="22" l="1"/>
  <c r="G47" i="22"/>
  <c r="D41" i="22"/>
  <c r="I35" i="22" l="1"/>
  <c r="H47" i="22"/>
  <c r="P9" i="22"/>
  <c r="E9" i="22"/>
  <c r="F41" i="22" s="1"/>
  <c r="G41" i="22" s="1"/>
  <c r="H41" i="22" s="1"/>
  <c r="I41" i="22" s="1"/>
  <c r="J41" i="22" s="1"/>
  <c r="J35" i="22" l="1"/>
  <c r="I47" i="22"/>
  <c r="K41" i="22"/>
  <c r="L41" i="22" s="1"/>
  <c r="M41" i="22" s="1"/>
  <c r="N41" i="22" s="1"/>
  <c r="O41" i="22" s="1"/>
  <c r="P41" i="22" s="1"/>
  <c r="Q41" i="22" s="1"/>
  <c r="R41" i="22" s="1"/>
  <c r="D1" i="22"/>
  <c r="K35" i="22" l="1"/>
  <c r="J47" i="22"/>
  <c r="T43" i="22"/>
  <c r="R43" i="22"/>
  <c r="M43" i="22"/>
  <c r="V26" i="19"/>
  <c r="W26" i="19"/>
  <c r="K44" i="22"/>
  <c r="L44" i="22"/>
  <c r="L60" i="22" s="1"/>
  <c r="K25" i="12"/>
  <c r="W27" i="4"/>
  <c r="X27" i="4"/>
  <c r="E1" i="22"/>
  <c r="D2" i="22"/>
  <c r="S41" i="22"/>
  <c r="F1" i="22"/>
  <c r="E2" i="22"/>
  <c r="L35" i="22" l="1"/>
  <c r="K47" i="22"/>
  <c r="D55" i="22"/>
  <c r="D45" i="22"/>
  <c r="D61" i="22" s="1"/>
  <c r="O44" i="22"/>
  <c r="O60" i="22" s="1"/>
  <c r="Y43" i="22"/>
  <c r="P43" i="22"/>
  <c r="T44" i="22"/>
  <c r="P44" i="22"/>
  <c r="M44" i="22"/>
  <c r="M60" i="22" s="1"/>
  <c r="R44" i="22"/>
  <c r="X43" i="22"/>
  <c r="X59" i="22" s="1"/>
  <c r="Z43" i="22"/>
  <c r="Z59" i="22" s="1"/>
  <c r="O43" i="22"/>
  <c r="S44" i="22"/>
  <c r="N43" i="22"/>
  <c r="N59" i="22" s="1"/>
  <c r="L43" i="22"/>
  <c r="M59" i="22" s="1"/>
  <c r="S43" i="22"/>
  <c r="S59" i="22" s="1"/>
  <c r="K43" i="22"/>
  <c r="N44" i="22"/>
  <c r="Q44" i="22"/>
  <c r="W43" i="22"/>
  <c r="Q43" i="22"/>
  <c r="Y27" i="4"/>
  <c r="U44" i="22"/>
  <c r="U60" i="22" s="1"/>
  <c r="T41" i="22"/>
  <c r="U41" i="22" s="1"/>
  <c r="V41" i="22" s="1"/>
  <c r="W41" i="22" s="1"/>
  <c r="AC43" i="22"/>
  <c r="I25" i="12"/>
  <c r="I24" i="11"/>
  <c r="J24" i="11"/>
  <c r="F24" i="11"/>
  <c r="X26" i="19"/>
  <c r="G1" i="22"/>
  <c r="F2" i="22"/>
  <c r="X41" i="22" l="1"/>
  <c r="W58" i="22"/>
  <c r="Q59" i="22"/>
  <c r="O59" i="22"/>
  <c r="P60" i="22"/>
  <c r="R60" i="22"/>
  <c r="R59" i="22"/>
  <c r="S60" i="22"/>
  <c r="T60" i="22"/>
  <c r="P59" i="22"/>
  <c r="Y59" i="22"/>
  <c r="Q60" i="22"/>
  <c r="N60" i="22"/>
  <c r="K50" i="22"/>
  <c r="L59" i="22"/>
  <c r="T59" i="22"/>
  <c r="M35" i="22"/>
  <c r="L47" i="22"/>
  <c r="V43" i="22"/>
  <c r="W59" i="22" s="1"/>
  <c r="U43" i="22"/>
  <c r="U59" i="22" s="1"/>
  <c r="E55" i="22"/>
  <c r="E45" i="22"/>
  <c r="E61" i="22" s="1"/>
  <c r="D43" i="22"/>
  <c r="D59" i="22" s="1"/>
  <c r="D44" i="22"/>
  <c r="D46" i="22"/>
  <c r="V44" i="22"/>
  <c r="V60" i="22" s="1"/>
  <c r="Y44" i="22"/>
  <c r="W44" i="22"/>
  <c r="X44" i="22"/>
  <c r="X60" i="22" s="1"/>
  <c r="Z27" i="4"/>
  <c r="Y26" i="19"/>
  <c r="G24" i="11"/>
  <c r="H24" i="11"/>
  <c r="J25" i="12"/>
  <c r="AC44" i="22"/>
  <c r="AE46" i="22"/>
  <c r="H1" i="22"/>
  <c r="G2" i="22"/>
  <c r="Y41" i="22" l="1"/>
  <c r="X58" i="22"/>
  <c r="V59" i="22"/>
  <c r="W60" i="22"/>
  <c r="Y60" i="22"/>
  <c r="D54" i="22"/>
  <c r="D62" i="22"/>
  <c r="D53" i="22"/>
  <c r="D60" i="22"/>
  <c r="N35" i="22"/>
  <c r="M47" i="22"/>
  <c r="D50" i="22"/>
  <c r="D52" i="22"/>
  <c r="AA44" i="22"/>
  <c r="Z44" i="22"/>
  <c r="Z60" i="22" s="1"/>
  <c r="E46" i="22"/>
  <c r="E44" i="22"/>
  <c r="E43" i="22"/>
  <c r="E59" i="22" s="1"/>
  <c r="AB43" i="22"/>
  <c r="AA43" i="22"/>
  <c r="AA59" i="22" s="1"/>
  <c r="F45" i="22"/>
  <c r="F61" i="22" s="1"/>
  <c r="F55" i="22"/>
  <c r="AD43" i="22"/>
  <c r="AD59" i="22" s="1"/>
  <c r="O24" i="11"/>
  <c r="AA27" i="4"/>
  <c r="AD44" i="22"/>
  <c r="AD60" i="22" s="1"/>
  <c r="M24" i="11"/>
  <c r="N24" i="11"/>
  <c r="K24" i="11"/>
  <c r="L24" i="11"/>
  <c r="AF46" i="22"/>
  <c r="AF62" i="22" s="1"/>
  <c r="I1" i="22"/>
  <c r="H2" i="22"/>
  <c r="Z41" i="22" l="1"/>
  <c r="Y58" i="22"/>
  <c r="AA60" i="22"/>
  <c r="E53" i="22"/>
  <c r="E60" i="22"/>
  <c r="AB59" i="22"/>
  <c r="AC59" i="22"/>
  <c r="E54" i="22"/>
  <c r="E62" i="22"/>
  <c r="E50" i="22"/>
  <c r="O35" i="22"/>
  <c r="N47" i="22"/>
  <c r="AB44" i="22"/>
  <c r="G55" i="22"/>
  <c r="G45" i="22"/>
  <c r="G61" i="22" s="1"/>
  <c r="F43" i="22"/>
  <c r="F59" i="22" s="1"/>
  <c r="F44" i="22"/>
  <c r="F46" i="22"/>
  <c r="E52" i="22"/>
  <c r="AE43" i="22"/>
  <c r="Z26" i="19"/>
  <c r="AB27" i="4"/>
  <c r="AA26" i="19"/>
  <c r="P24" i="11"/>
  <c r="Q24" i="11"/>
  <c r="R24" i="11"/>
  <c r="AE44" i="22"/>
  <c r="AE60" i="22" s="1"/>
  <c r="J1" i="22"/>
  <c r="I2" i="22"/>
  <c r="AA41" i="22" l="1"/>
  <c r="Z58" i="22"/>
  <c r="F54" i="22"/>
  <c r="F62" i="22"/>
  <c r="F53" i="22"/>
  <c r="F60" i="22"/>
  <c r="AE59" i="22"/>
  <c r="AB60" i="22"/>
  <c r="AC60" i="22"/>
  <c r="F50" i="22"/>
  <c r="P35" i="22"/>
  <c r="O47" i="22"/>
  <c r="G46" i="22"/>
  <c r="G43" i="22"/>
  <c r="G59" i="22" s="1"/>
  <c r="H45" i="22"/>
  <c r="H61" i="22" s="1"/>
  <c r="G44" i="22"/>
  <c r="F52" i="22"/>
  <c r="H55" i="22"/>
  <c r="AG46" i="22"/>
  <c r="AG62" i="22" s="1"/>
  <c r="AF43" i="22"/>
  <c r="AC27" i="4"/>
  <c r="AF44" i="22"/>
  <c r="AF60" i="22" s="1"/>
  <c r="AB26" i="19"/>
  <c r="K1" i="22"/>
  <c r="J2" i="22"/>
  <c r="AB41" i="22" l="1"/>
  <c r="AA58" i="22"/>
  <c r="AF59" i="22"/>
  <c r="G54" i="22"/>
  <c r="G62" i="22"/>
  <c r="G53" i="22"/>
  <c r="G60" i="22"/>
  <c r="G50" i="22"/>
  <c r="Q35" i="22"/>
  <c r="P47" i="22"/>
  <c r="I45" i="22"/>
  <c r="I61" i="22" s="1"/>
  <c r="G52" i="22"/>
  <c r="H43" i="22"/>
  <c r="H59" i="22" s="1"/>
  <c r="H46" i="22"/>
  <c r="I55" i="22"/>
  <c r="H44" i="22"/>
  <c r="AG43" i="22"/>
  <c r="AC26" i="19"/>
  <c r="AG44" i="22"/>
  <c r="AG60" i="22" s="1"/>
  <c r="AF45" i="22"/>
  <c r="L1" i="22"/>
  <c r="K2" i="22"/>
  <c r="AB58" i="22" l="1"/>
  <c r="AC41" i="22"/>
  <c r="H53" i="22"/>
  <c r="H60" i="22"/>
  <c r="H54" i="22"/>
  <c r="H62" i="22"/>
  <c r="AG59" i="22"/>
  <c r="H50" i="22"/>
  <c r="R35" i="22"/>
  <c r="Q47" i="22"/>
  <c r="J44" i="22"/>
  <c r="I44" i="22"/>
  <c r="H52" i="22"/>
  <c r="AH46" i="22"/>
  <c r="AH62" i="22" s="1"/>
  <c r="J55" i="22"/>
  <c r="I46" i="22"/>
  <c r="J43" i="22"/>
  <c r="I43" i="22"/>
  <c r="I59" i="22" s="1"/>
  <c r="J45" i="22"/>
  <c r="AH43" i="22"/>
  <c r="AG45" i="22"/>
  <c r="AG61" i="22" s="1"/>
  <c r="AH44" i="22"/>
  <c r="AH60" i="22" s="1"/>
  <c r="AD26" i="19"/>
  <c r="K52" i="22"/>
  <c r="M1" i="22"/>
  <c r="L2" i="22"/>
  <c r="AC58" i="22" l="1"/>
  <c r="AD41" i="22"/>
  <c r="J61" i="22"/>
  <c r="K61" i="22"/>
  <c r="I53" i="22"/>
  <c r="I60" i="22"/>
  <c r="AH59" i="22"/>
  <c r="I54" i="22"/>
  <c r="I62" i="22"/>
  <c r="J60" i="22"/>
  <c r="K60" i="22"/>
  <c r="J59" i="22"/>
  <c r="K59" i="22"/>
  <c r="I50" i="22"/>
  <c r="S35" i="22"/>
  <c r="R47" i="22"/>
  <c r="J52" i="22"/>
  <c r="J46" i="22"/>
  <c r="K53" i="22"/>
  <c r="K55" i="22"/>
  <c r="I52" i="22"/>
  <c r="AI46" i="22"/>
  <c r="AI62" i="22" s="1"/>
  <c r="J53" i="22"/>
  <c r="AI43" i="22"/>
  <c r="AI59" i="22" s="1"/>
  <c r="AE26" i="19"/>
  <c r="AI44" i="22"/>
  <c r="AI60" i="22" s="1"/>
  <c r="AH45" i="22"/>
  <c r="L52" i="22"/>
  <c r="N1" i="22"/>
  <c r="M2" i="22"/>
  <c r="AD58" i="22" l="1"/>
  <c r="AE41" i="22"/>
  <c r="J54" i="22"/>
  <c r="J62" i="22"/>
  <c r="K62" i="22"/>
  <c r="AH53" i="22"/>
  <c r="AH61" i="22"/>
  <c r="T35" i="22"/>
  <c r="S47" i="22"/>
  <c r="J50" i="22"/>
  <c r="K54" i="22"/>
  <c r="L55" i="22"/>
  <c r="L45" i="22"/>
  <c r="AJ46" i="22"/>
  <c r="AJ62" i="22" s="1"/>
  <c r="AJ43" i="22"/>
  <c r="AJ59" i="22" s="1"/>
  <c r="AJ44" i="22"/>
  <c r="AJ60" i="22" s="1"/>
  <c r="AF26" i="19"/>
  <c r="M52" i="22"/>
  <c r="O1" i="22"/>
  <c r="N2" i="22"/>
  <c r="AE58" i="22" l="1"/>
  <c r="AE50" i="22"/>
  <c r="AF41" i="22"/>
  <c r="L53" i="22"/>
  <c r="L61" i="22"/>
  <c r="U35" i="22"/>
  <c r="T47" i="22"/>
  <c r="AK46" i="22"/>
  <c r="AK62" i="22" s="1"/>
  <c r="M45" i="22"/>
  <c r="M55" i="22"/>
  <c r="L46" i="22"/>
  <c r="L62" i="22" s="1"/>
  <c r="AI45" i="22"/>
  <c r="AI61" i="22" s="1"/>
  <c r="AK43" i="22"/>
  <c r="AK59" i="22" s="1"/>
  <c r="AG26" i="19"/>
  <c r="AK44" i="22"/>
  <c r="AK60" i="22" s="1"/>
  <c r="N52" i="22"/>
  <c r="P1" i="22"/>
  <c r="O2" i="22"/>
  <c r="AF58" i="22" l="1"/>
  <c r="AF50" i="22"/>
  <c r="AG41" i="22"/>
  <c r="M53" i="22"/>
  <c r="M61" i="22"/>
  <c r="V35" i="22"/>
  <c r="U47" i="22"/>
  <c r="L54" i="22"/>
  <c r="L50" i="22"/>
  <c r="M46" i="22"/>
  <c r="M62" i="22" s="1"/>
  <c r="N55" i="22"/>
  <c r="N45" i="22"/>
  <c r="AL46" i="22"/>
  <c r="AL62" i="22" s="1"/>
  <c r="AL43" i="22"/>
  <c r="AL59" i="22" s="1"/>
  <c r="AJ45" i="22"/>
  <c r="AJ61" i="22" s="1"/>
  <c r="AL44" i="22"/>
  <c r="AL60" i="22" s="1"/>
  <c r="AH26" i="19"/>
  <c r="O52" i="22"/>
  <c r="Q1" i="22"/>
  <c r="P2" i="22"/>
  <c r="AG58" i="22" l="1"/>
  <c r="AH41" i="22"/>
  <c r="AG50" i="22"/>
  <c r="N53" i="22"/>
  <c r="N61" i="22"/>
  <c r="W35" i="22"/>
  <c r="V47" i="22"/>
  <c r="M54" i="22"/>
  <c r="M50" i="22"/>
  <c r="AM46" i="22"/>
  <c r="AM62" i="22" s="1"/>
  <c r="O45" i="22"/>
  <c r="O55" i="22"/>
  <c r="N46" i="22"/>
  <c r="N62" i="22" s="1"/>
  <c r="AK45" i="22"/>
  <c r="AK61" i="22" s="1"/>
  <c r="AM43" i="22"/>
  <c r="AM59" i="22" s="1"/>
  <c r="AI26" i="19"/>
  <c r="AM44" i="22"/>
  <c r="AM60" i="22" s="1"/>
  <c r="P52" i="22"/>
  <c r="R1" i="22"/>
  <c r="Q2" i="22"/>
  <c r="AH58" i="22" l="1"/>
  <c r="AH50" i="22"/>
  <c r="AI41" i="22"/>
  <c r="O53" i="22"/>
  <c r="O61" i="22"/>
  <c r="N54" i="22"/>
  <c r="N50" i="22"/>
  <c r="X35" i="22"/>
  <c r="W47" i="22"/>
  <c r="P55" i="22"/>
  <c r="O46" i="22"/>
  <c r="O62" i="22" s="1"/>
  <c r="P45" i="22"/>
  <c r="AN46" i="22"/>
  <c r="AN62" i="22" s="1"/>
  <c r="AN43" i="22"/>
  <c r="AN59" i="22" s="1"/>
  <c r="AL45" i="22"/>
  <c r="AL61" i="22" s="1"/>
  <c r="AN44" i="22"/>
  <c r="AN60" i="22" s="1"/>
  <c r="AJ26" i="19"/>
  <c r="Q52" i="22"/>
  <c r="S1" i="22"/>
  <c r="R2" i="22"/>
  <c r="AI58" i="22" l="1"/>
  <c r="AJ41" i="22"/>
  <c r="AI50" i="22"/>
  <c r="P53" i="22"/>
  <c r="P61" i="22"/>
  <c r="O54" i="22"/>
  <c r="O50" i="22"/>
  <c r="Y35" i="22"/>
  <c r="X47" i="22"/>
  <c r="AO46" i="22"/>
  <c r="AO62" i="22" s="1"/>
  <c r="Q45" i="22"/>
  <c r="Q61" i="22" s="1"/>
  <c r="P46" i="22"/>
  <c r="P62" i="22" s="1"/>
  <c r="Q55" i="22"/>
  <c r="AM45" i="22"/>
  <c r="AM61" i="22" s="1"/>
  <c r="AO43" i="22"/>
  <c r="AO59" i="22" s="1"/>
  <c r="Q53" i="22"/>
  <c r="AK26" i="19"/>
  <c r="AO44" i="22"/>
  <c r="AO60" i="22" s="1"/>
  <c r="R52" i="22"/>
  <c r="T1" i="22"/>
  <c r="S2" i="22"/>
  <c r="AJ58" i="22" l="1"/>
  <c r="AK41" i="22"/>
  <c r="AJ50" i="22"/>
  <c r="P54" i="22"/>
  <c r="P50" i="22"/>
  <c r="Z35" i="22"/>
  <c r="Y47" i="22"/>
  <c r="R55" i="22"/>
  <c r="Q46" i="22"/>
  <c r="Q62" i="22" s="1"/>
  <c r="R45" i="22"/>
  <c r="AP46" i="22"/>
  <c r="AP62" i="22" s="1"/>
  <c r="AP43" i="22"/>
  <c r="AN45" i="22"/>
  <c r="AN61" i="22" s="1"/>
  <c r="AP44" i="22"/>
  <c r="AP60" i="22" s="1"/>
  <c r="AL26" i="19"/>
  <c r="S52" i="22"/>
  <c r="U1" i="22"/>
  <c r="T2" i="22"/>
  <c r="AK58" i="22" l="1"/>
  <c r="AL41" i="22"/>
  <c r="AK50" i="22"/>
  <c r="R53" i="22"/>
  <c r="R61" i="22"/>
  <c r="AP59" i="22"/>
  <c r="Q54" i="22"/>
  <c r="Q50" i="22"/>
  <c r="AA35" i="22"/>
  <c r="Z47" i="22"/>
  <c r="AQ46" i="22"/>
  <c r="AQ62" i="22" s="1"/>
  <c r="S45" i="22"/>
  <c r="R46" i="22"/>
  <c r="R62" i="22" s="1"/>
  <c r="S55" i="22"/>
  <c r="AO45" i="22"/>
  <c r="AO61" i="22" s="1"/>
  <c r="AQ43" i="22"/>
  <c r="AQ59" i="22" s="1"/>
  <c r="AM26" i="19"/>
  <c r="AQ44" i="22"/>
  <c r="AQ60" i="22" s="1"/>
  <c r="T52" i="22"/>
  <c r="V1" i="22"/>
  <c r="U2" i="22"/>
  <c r="AL58" i="22" l="1"/>
  <c r="AM41" i="22"/>
  <c r="AL50" i="22"/>
  <c r="S53" i="22"/>
  <c r="S61" i="22"/>
  <c r="R54" i="22"/>
  <c r="R50" i="22"/>
  <c r="AB35" i="22"/>
  <c r="AA47" i="22"/>
  <c r="T55" i="22"/>
  <c r="S46" i="22"/>
  <c r="S62" i="22" s="1"/>
  <c r="T45" i="22"/>
  <c r="AR46" i="22"/>
  <c r="AR62" i="22" s="1"/>
  <c r="AR43" i="22"/>
  <c r="AR59" i="22" s="1"/>
  <c r="AP45" i="22"/>
  <c r="AP61" i="22" s="1"/>
  <c r="AN26" i="19"/>
  <c r="U52" i="22"/>
  <c r="W1" i="22"/>
  <c r="V2" i="22"/>
  <c r="AM58" i="22" l="1"/>
  <c r="AN41" i="22"/>
  <c r="AM50" i="22"/>
  <c r="T53" i="22"/>
  <c r="T61" i="22"/>
  <c r="S54" i="22"/>
  <c r="S50" i="22"/>
  <c r="AC35" i="22"/>
  <c r="AB47" i="22"/>
  <c r="U45" i="22"/>
  <c r="AS46" i="22"/>
  <c r="AS62" i="22" s="1"/>
  <c r="T46" i="22"/>
  <c r="T62" i="22" s="1"/>
  <c r="U55" i="22"/>
  <c r="AR44" i="22"/>
  <c r="AR60" i="22" s="1"/>
  <c r="AQ45" i="22"/>
  <c r="AQ61" i="22" s="1"/>
  <c r="V52" i="22"/>
  <c r="X1" i="22"/>
  <c r="W2" i="22"/>
  <c r="AN58" i="22" l="1"/>
  <c r="AO41" i="22"/>
  <c r="AN50" i="22"/>
  <c r="U53" i="22"/>
  <c r="U61" i="22"/>
  <c r="T54" i="22"/>
  <c r="T50" i="22"/>
  <c r="AD35" i="22"/>
  <c r="AC47" i="22"/>
  <c r="AS43" i="22"/>
  <c r="V55" i="22"/>
  <c r="U46" i="22"/>
  <c r="U62" i="22" s="1"/>
  <c r="AT46" i="22"/>
  <c r="AT62" i="22" s="1"/>
  <c r="V45" i="22"/>
  <c r="W52" i="22"/>
  <c r="Y1" i="22"/>
  <c r="X2" i="22"/>
  <c r="AO58" i="22" l="1"/>
  <c r="AP41" i="22"/>
  <c r="AO50" i="22"/>
  <c r="V53" i="22"/>
  <c r="V61" i="22"/>
  <c r="AS59" i="22"/>
  <c r="AE35" i="22"/>
  <c r="AD47" i="22"/>
  <c r="U54" i="22"/>
  <c r="U50" i="22"/>
  <c r="AR45" i="22"/>
  <c r="AR61" i="22" s="1"/>
  <c r="AS44" i="22"/>
  <c r="AS60" i="22" s="1"/>
  <c r="W45" i="22"/>
  <c r="W61" i="22" s="1"/>
  <c r="AU46" i="22"/>
  <c r="AU62" i="22" s="1"/>
  <c r="V46" i="22"/>
  <c r="V62" i="22" s="1"/>
  <c r="W55" i="22"/>
  <c r="AT43" i="22"/>
  <c r="X52" i="22"/>
  <c r="Z1" i="22"/>
  <c r="Y2" i="22"/>
  <c r="AP58" i="22" l="1"/>
  <c r="AP50" i="22"/>
  <c r="AQ41" i="22"/>
  <c r="AT59" i="22"/>
  <c r="V54" i="22"/>
  <c r="V50" i="22"/>
  <c r="AF35" i="22"/>
  <c r="AE47" i="22"/>
  <c r="X55" i="22"/>
  <c r="AV46" i="22"/>
  <c r="AV62" i="22" s="1"/>
  <c r="W53" i="22"/>
  <c r="AU43" i="22"/>
  <c r="W46" i="22"/>
  <c r="W62" i="22" s="1"/>
  <c r="X45" i="22"/>
  <c r="X61" i="22" s="1"/>
  <c r="AT44" i="22"/>
  <c r="AT60" i="22" s="1"/>
  <c r="AS45" i="22"/>
  <c r="AS61" i="22" s="1"/>
  <c r="Y52" i="22"/>
  <c r="AA1" i="22"/>
  <c r="Z2" i="22"/>
  <c r="AQ58" i="22" l="1"/>
  <c r="AR41" i="22"/>
  <c r="AQ50" i="22"/>
  <c r="AU59" i="22"/>
  <c r="W54" i="22"/>
  <c r="W50" i="22"/>
  <c r="AG35" i="22"/>
  <c r="AF47" i="22"/>
  <c r="AT45" i="22"/>
  <c r="AT61" i="22" s="1"/>
  <c r="Y45" i="22"/>
  <c r="X53" i="22"/>
  <c r="AU44" i="22"/>
  <c r="AU60" i="22" s="1"/>
  <c r="AV43" i="22"/>
  <c r="AW46" i="22"/>
  <c r="AW62" i="22" s="1"/>
  <c r="Y55" i="22"/>
  <c r="X46" i="22"/>
  <c r="X62" i="22" s="1"/>
  <c r="Z52" i="22"/>
  <c r="AB1" i="22"/>
  <c r="AA2" i="22"/>
  <c r="AR58" i="22" l="1"/>
  <c r="AS41" i="22"/>
  <c r="AR50" i="22"/>
  <c r="Y53" i="22"/>
  <c r="Y61" i="22"/>
  <c r="AV59" i="22"/>
  <c r="X54" i="22"/>
  <c r="X50" i="22"/>
  <c r="AH35" i="22"/>
  <c r="AG47" i="22"/>
  <c r="Y46" i="22"/>
  <c r="AW43" i="22"/>
  <c r="Z55" i="22"/>
  <c r="AX46" i="22"/>
  <c r="AX62" i="22" s="1"/>
  <c r="Z45" i="22"/>
  <c r="Y54" i="22"/>
  <c r="AU45" i="22"/>
  <c r="AU61" i="22" s="1"/>
  <c r="AV44" i="22"/>
  <c r="AV60" i="22" s="1"/>
  <c r="AA52" i="22"/>
  <c r="AC1" i="22"/>
  <c r="AB2" i="22"/>
  <c r="AS58" i="22" l="1"/>
  <c r="AT41" i="22"/>
  <c r="AS50" i="22"/>
  <c r="Y50" i="22"/>
  <c r="Y62" i="22"/>
  <c r="Z53" i="22"/>
  <c r="Z61" i="22"/>
  <c r="AW59" i="22"/>
  <c r="AI35" i="22"/>
  <c r="AH47" i="22"/>
  <c r="AV45" i="22"/>
  <c r="AV61" i="22" s="1"/>
  <c r="AW44" i="22"/>
  <c r="AW60" i="22" s="1"/>
  <c r="AA45" i="22"/>
  <c r="AY46" i="22"/>
  <c r="AY62" i="22" s="1"/>
  <c r="AA55" i="22"/>
  <c r="AX43" i="22"/>
  <c r="Z46" i="22"/>
  <c r="Z62" i="22" s="1"/>
  <c r="AB52" i="22"/>
  <c r="AD1" i="22"/>
  <c r="AC2" i="22"/>
  <c r="AT58" i="22" l="1"/>
  <c r="AU41" i="22"/>
  <c r="AT50" i="22"/>
  <c r="AX59" i="22"/>
  <c r="AA53" i="22"/>
  <c r="AA61" i="22"/>
  <c r="Z54" i="22"/>
  <c r="Z50" i="22"/>
  <c r="AJ35" i="22"/>
  <c r="AI47" i="22"/>
  <c r="AY43" i="22"/>
  <c r="AB45" i="22"/>
  <c r="AZ46" i="22"/>
  <c r="AZ62" i="22" s="1"/>
  <c r="AA46" i="22"/>
  <c r="AA62" i="22" s="1"/>
  <c r="AB55" i="22"/>
  <c r="AX44" i="22"/>
  <c r="AX60" i="22" s="1"/>
  <c r="AW45" i="22"/>
  <c r="AW61" i="22" s="1"/>
  <c r="AC52" i="22"/>
  <c r="AE1" i="22"/>
  <c r="AD2" i="22"/>
  <c r="AU58" i="22" l="1"/>
  <c r="AV41" i="22"/>
  <c r="AU50" i="22"/>
  <c r="AB53" i="22"/>
  <c r="AB61" i="22"/>
  <c r="AY59" i="22"/>
  <c r="AA54" i="22"/>
  <c r="AA50" i="22"/>
  <c r="AK35" i="22"/>
  <c r="AJ47" i="22"/>
  <c r="AY44" i="22"/>
  <c r="AY60" i="22" s="1"/>
  <c r="BA46" i="22"/>
  <c r="BA62" i="22" s="1"/>
  <c r="AB46" i="22"/>
  <c r="AX45" i="22"/>
  <c r="AX61" i="22" s="1"/>
  <c r="AC55" i="22"/>
  <c r="AC45" i="22"/>
  <c r="AZ43" i="22"/>
  <c r="AD52" i="22"/>
  <c r="AF1" i="22"/>
  <c r="AE2" i="22"/>
  <c r="AV58" i="22" l="1"/>
  <c r="AW41" i="22"/>
  <c r="AV50" i="22"/>
  <c r="AZ59" i="22"/>
  <c r="AC53" i="22"/>
  <c r="AC61" i="22"/>
  <c r="AB50" i="22"/>
  <c r="AB62" i="22"/>
  <c r="AB54" i="22"/>
  <c r="AL35" i="22"/>
  <c r="AK47" i="22"/>
  <c r="AD55" i="22"/>
  <c r="AY45" i="22"/>
  <c r="AY61" i="22" s="1"/>
  <c r="BB46" i="22"/>
  <c r="BB62" i="22" s="1"/>
  <c r="BA43" i="22"/>
  <c r="AD45" i="22"/>
  <c r="AE45" i="22"/>
  <c r="AD46" i="22"/>
  <c r="AC46" i="22"/>
  <c r="AC62" i="22" s="1"/>
  <c r="AZ44" i="22"/>
  <c r="AZ60" i="22" s="1"/>
  <c r="AE52" i="22"/>
  <c r="AG1" i="22"/>
  <c r="AF2" i="22"/>
  <c r="AW58" i="22" l="1"/>
  <c r="AX41" i="22"/>
  <c r="AW50" i="22"/>
  <c r="AD53" i="22"/>
  <c r="AD61" i="22"/>
  <c r="BA59" i="22"/>
  <c r="AD50" i="22"/>
  <c r="AD62" i="22"/>
  <c r="AE62" i="22"/>
  <c r="AE53" i="22"/>
  <c r="AE61" i="22"/>
  <c r="AF61" i="22"/>
  <c r="AC54" i="22"/>
  <c r="AC50" i="22"/>
  <c r="AM35" i="22"/>
  <c r="AL47" i="22"/>
  <c r="BA44" i="22"/>
  <c r="BA60" i="22" s="1"/>
  <c r="BB43" i="22"/>
  <c r="AD54" i="22"/>
  <c r="BC46" i="22"/>
  <c r="BC62" i="22" s="1"/>
  <c r="AZ45" i="22"/>
  <c r="AZ61" i="22" s="1"/>
  <c r="AE55" i="22"/>
  <c r="AF53" i="22"/>
  <c r="AF52" i="22"/>
  <c r="AH1" i="22"/>
  <c r="AG2" i="22"/>
  <c r="AX58" i="22" l="1"/>
  <c r="AY41" i="22"/>
  <c r="AX50" i="22"/>
  <c r="BB59" i="22"/>
  <c r="AN35" i="22"/>
  <c r="AM47" i="22"/>
  <c r="AE54" i="22"/>
  <c r="BD46" i="22"/>
  <c r="BD62" i="22" s="1"/>
  <c r="BA45" i="22"/>
  <c r="BA61" i="22" s="1"/>
  <c r="BC43" i="22"/>
  <c r="BB44" i="22"/>
  <c r="BB60" i="22" s="1"/>
  <c r="AF55" i="22"/>
  <c r="AF54" i="22"/>
  <c r="AG53" i="22"/>
  <c r="AG52" i="22"/>
  <c r="AI1" i="22"/>
  <c r="AH2" i="22"/>
  <c r="AY58" i="22" l="1"/>
  <c r="AZ41" i="22"/>
  <c r="AY50" i="22"/>
  <c r="BC59" i="22"/>
  <c r="AO35" i="22"/>
  <c r="AN47" i="22"/>
  <c r="BC44" i="22"/>
  <c r="BC60" i="22" s="1"/>
  <c r="BB45" i="22"/>
  <c r="BB61" i="22" s="1"/>
  <c r="BD43" i="22"/>
  <c r="BE46" i="22"/>
  <c r="BE62" i="22" s="1"/>
  <c r="AG55" i="22"/>
  <c r="AG54" i="22"/>
  <c r="AH52" i="22"/>
  <c r="AJ1" i="22"/>
  <c r="AI2" i="22"/>
  <c r="AZ58" i="22" l="1"/>
  <c r="BA41" i="22"/>
  <c r="AZ50" i="22"/>
  <c r="BD59" i="22"/>
  <c r="AP35" i="22"/>
  <c r="AO47" i="22"/>
  <c r="BF46" i="22"/>
  <c r="BF62" i="22" s="1"/>
  <c r="BC45" i="22"/>
  <c r="BC61" i="22" s="1"/>
  <c r="BE43" i="22"/>
  <c r="BD44" i="22"/>
  <c r="BD60" i="22" s="1"/>
  <c r="AH55" i="22"/>
  <c r="AH54" i="22"/>
  <c r="AI53" i="22"/>
  <c r="AI52" i="22"/>
  <c r="AK1" i="22"/>
  <c r="AJ2" i="22"/>
  <c r="BA58" i="22" l="1"/>
  <c r="BB41" i="22"/>
  <c r="BA50" i="22"/>
  <c r="BE59" i="22"/>
  <c r="AQ35" i="22"/>
  <c r="AP47" i="22"/>
  <c r="BF43" i="22"/>
  <c r="BE44" i="22"/>
  <c r="BE60" i="22" s="1"/>
  <c r="BD45" i="22"/>
  <c r="BD61" i="22" s="1"/>
  <c r="BG46" i="22"/>
  <c r="BG62" i="22" s="1"/>
  <c r="AI55" i="22"/>
  <c r="AI54" i="22"/>
  <c r="AJ53" i="22"/>
  <c r="AJ52" i="22"/>
  <c r="AL1" i="22"/>
  <c r="AK2" i="22"/>
  <c r="BB58" i="22" l="1"/>
  <c r="BC41" i="22"/>
  <c r="BB50" i="22"/>
  <c r="BF59" i="22"/>
  <c r="AR35" i="22"/>
  <c r="AQ47" i="22"/>
  <c r="BH46" i="22"/>
  <c r="BH62" i="22" s="1"/>
  <c r="BE45" i="22"/>
  <c r="BE61" i="22" s="1"/>
  <c r="BF44" i="22"/>
  <c r="BF60" i="22" s="1"/>
  <c r="BG43" i="22"/>
  <c r="AL55" i="22"/>
  <c r="AJ55" i="22"/>
  <c r="AJ54" i="22"/>
  <c r="AK53" i="22"/>
  <c r="AK52" i="22"/>
  <c r="AM1" i="22"/>
  <c r="AL2" i="22"/>
  <c r="BC58" i="22" l="1"/>
  <c r="BD41" i="22"/>
  <c r="BC50" i="22"/>
  <c r="BG59" i="22"/>
  <c r="AS35" i="22"/>
  <c r="AR47" i="22"/>
  <c r="BH43" i="22"/>
  <c r="BG44" i="22"/>
  <c r="BG60" i="22" s="1"/>
  <c r="BF45" i="22"/>
  <c r="BF61" i="22" s="1"/>
  <c r="BI46" i="22"/>
  <c r="BI62" i="22" s="1"/>
  <c r="AM55" i="22"/>
  <c r="AK55" i="22"/>
  <c r="AK54" i="22"/>
  <c r="AL53" i="22"/>
  <c r="AL54" i="22"/>
  <c r="AL52" i="22"/>
  <c r="AN1" i="22"/>
  <c r="AM2" i="22"/>
  <c r="BD58" i="22" l="1"/>
  <c r="BE41" i="22"/>
  <c r="BD50" i="22"/>
  <c r="BH59" i="22"/>
  <c r="AT35" i="22"/>
  <c r="AS47" i="22"/>
  <c r="BI43" i="22"/>
  <c r="BJ46" i="22"/>
  <c r="BJ62" i="22" s="1"/>
  <c r="BH44" i="22"/>
  <c r="BH60" i="22" s="1"/>
  <c r="BG45" i="22"/>
  <c r="BG61" i="22" s="1"/>
  <c r="AN55" i="22"/>
  <c r="AM53" i="22"/>
  <c r="AM54" i="22"/>
  <c r="AM52" i="22"/>
  <c r="AO1" i="22"/>
  <c r="AN2" i="22"/>
  <c r="BE58" i="22" l="1"/>
  <c r="BF41" i="22"/>
  <c r="BE50" i="22"/>
  <c r="BI59" i="22"/>
  <c r="AU35" i="22"/>
  <c r="AT47" i="22"/>
  <c r="BH45" i="22"/>
  <c r="BH61" i="22" s="1"/>
  <c r="BI44" i="22"/>
  <c r="BI60" i="22" s="1"/>
  <c r="BK46" i="22"/>
  <c r="BK62" i="22" s="1"/>
  <c r="BJ43" i="22"/>
  <c r="AO55" i="22"/>
  <c r="AN53" i="22"/>
  <c r="AN54" i="22"/>
  <c r="AN52" i="22"/>
  <c r="AP1" i="22"/>
  <c r="AO2" i="22"/>
  <c r="BF58" i="22" l="1"/>
  <c r="BG41" i="22"/>
  <c r="BF50" i="22"/>
  <c r="BJ59" i="22"/>
  <c r="AV35" i="22"/>
  <c r="AU47" i="22"/>
  <c r="BJ44" i="22"/>
  <c r="BJ60" i="22" s="1"/>
  <c r="BK43" i="22"/>
  <c r="BL46" i="22"/>
  <c r="BL62" i="22" s="1"/>
  <c r="BI45" i="22"/>
  <c r="BI61" i="22" s="1"/>
  <c r="AP55" i="22"/>
  <c r="AO53" i="22"/>
  <c r="AO54" i="22"/>
  <c r="AO52" i="22"/>
  <c r="AQ1" i="22"/>
  <c r="AP2" i="22"/>
  <c r="BG58" i="22" l="1"/>
  <c r="BH41" i="22"/>
  <c r="BG50" i="22"/>
  <c r="BK59" i="22"/>
  <c r="AW35" i="22"/>
  <c r="AV47" i="22"/>
  <c r="BJ45" i="22"/>
  <c r="BJ61" i="22" s="1"/>
  <c r="BN46" i="22"/>
  <c r="BM46" i="22"/>
  <c r="BM62" i="22" s="1"/>
  <c r="BL43" i="22"/>
  <c r="BK44" i="22"/>
  <c r="BK60" i="22" s="1"/>
  <c r="AQ55" i="22"/>
  <c r="AP54" i="22"/>
  <c r="AP53" i="22"/>
  <c r="AP52" i="22"/>
  <c r="AR1" i="22"/>
  <c r="AQ2" i="22"/>
  <c r="BH58" i="22" l="1"/>
  <c r="BI41" i="22"/>
  <c r="BH50" i="22"/>
  <c r="BN62" i="22"/>
  <c r="BL59" i="22"/>
  <c r="AX35" i="22"/>
  <c r="AW47" i="22"/>
  <c r="BL44" i="22"/>
  <c r="BL60" i="22" s="1"/>
  <c r="BN43" i="22"/>
  <c r="BM43" i="22"/>
  <c r="BK45" i="22"/>
  <c r="BK61" i="22" s="1"/>
  <c r="AR55" i="22"/>
  <c r="AQ53" i="22"/>
  <c r="AQ54" i="22"/>
  <c r="AQ52" i="22"/>
  <c r="AS1" i="22"/>
  <c r="AR2" i="22"/>
  <c r="BI58" i="22" l="1"/>
  <c r="BJ41" i="22"/>
  <c r="BI50" i="22"/>
  <c r="BM59" i="22"/>
  <c r="BN59" i="22"/>
  <c r="AY35" i="22"/>
  <c r="AX47" i="22"/>
  <c r="BL45" i="22"/>
  <c r="BL61" i="22" s="1"/>
  <c r="BN44" i="22"/>
  <c r="BM44" i="22"/>
  <c r="BM60" i="22" s="1"/>
  <c r="AS55" i="22"/>
  <c r="AR54" i="22"/>
  <c r="AR53" i="22"/>
  <c r="AR52" i="22"/>
  <c r="AT1" i="22"/>
  <c r="AS2" i="22"/>
  <c r="BJ58" i="22" l="1"/>
  <c r="BK41" i="22"/>
  <c r="BJ50" i="22"/>
  <c r="BN60" i="22"/>
  <c r="AZ35" i="22"/>
  <c r="AY47" i="22"/>
  <c r="BN45" i="22"/>
  <c r="BM45" i="22"/>
  <c r="BM61" i="22" s="1"/>
  <c r="AT55" i="22"/>
  <c r="AS53" i="22"/>
  <c r="AS54" i="22"/>
  <c r="AS52" i="22"/>
  <c r="AU1" i="22"/>
  <c r="AT2" i="22"/>
  <c r="BK58" i="22" l="1"/>
  <c r="BL41" i="22"/>
  <c r="BK50" i="22"/>
  <c r="BN61" i="22"/>
  <c r="BA35" i="22"/>
  <c r="AZ47" i="22"/>
  <c r="AU55" i="22"/>
  <c r="AT53" i="22"/>
  <c r="AT54" i="22"/>
  <c r="AT52" i="22"/>
  <c r="AV1" i="22"/>
  <c r="AU2" i="22"/>
  <c r="BL58" i="22" l="1"/>
  <c r="BM41" i="22"/>
  <c r="BL50" i="22"/>
  <c r="BB35" i="22"/>
  <c r="BA47" i="22"/>
  <c r="AV55" i="22"/>
  <c r="AU53" i="22"/>
  <c r="AU54" i="22"/>
  <c r="AU52" i="22"/>
  <c r="AW1" i="22"/>
  <c r="AV2" i="22"/>
  <c r="BM58" i="22" l="1"/>
  <c r="BN41" i="22"/>
  <c r="BM50" i="22"/>
  <c r="BC35" i="22"/>
  <c r="BB47" i="22"/>
  <c r="AW55" i="22"/>
  <c r="AV54" i="22"/>
  <c r="AV53" i="22"/>
  <c r="AV52" i="22"/>
  <c r="AX1" i="22"/>
  <c r="AW2" i="22"/>
  <c r="BN50" i="22" l="1"/>
  <c r="BN58" i="22"/>
  <c r="BD35" i="22"/>
  <c r="BC47" i="22"/>
  <c r="AX55" i="22"/>
  <c r="AW53" i="22"/>
  <c r="AW54" i="22"/>
  <c r="AW52" i="22"/>
  <c r="AY1" i="22"/>
  <c r="AX2" i="22"/>
  <c r="BE35" i="22" l="1"/>
  <c r="BD47" i="22"/>
  <c r="AY55" i="22"/>
  <c r="AX53" i="22"/>
  <c r="AX54" i="22"/>
  <c r="AX52" i="22"/>
  <c r="AZ1" i="22"/>
  <c r="AY2" i="22"/>
  <c r="BF35" i="22" l="1"/>
  <c r="BE47" i="22"/>
  <c r="AZ55" i="22"/>
  <c r="AY53" i="22"/>
  <c r="AY54" i="22"/>
  <c r="AY52" i="22"/>
  <c r="BA1" i="22"/>
  <c r="AZ2" i="22"/>
  <c r="BG35" i="22" l="1"/>
  <c r="BF47" i="22"/>
  <c r="BA55" i="22"/>
  <c r="AZ54" i="22"/>
  <c r="AZ52" i="22"/>
  <c r="AZ53" i="22"/>
  <c r="BB1" i="22"/>
  <c r="BA2" i="22"/>
  <c r="BH35" i="22" l="1"/>
  <c r="BG47" i="22"/>
  <c r="BB55" i="22"/>
  <c r="BA53" i="22"/>
  <c r="BA54" i="22"/>
  <c r="BA52" i="22"/>
  <c r="BC1" i="22"/>
  <c r="BB2" i="22"/>
  <c r="BI35" i="22" l="1"/>
  <c r="BH47" i="22"/>
  <c r="BC55" i="22"/>
  <c r="BB53" i="22"/>
  <c r="BB54" i="22"/>
  <c r="BB52" i="22"/>
  <c r="BD1" i="22"/>
  <c r="BC2" i="22"/>
  <c r="BJ35" i="22" l="1"/>
  <c r="BI47" i="22"/>
  <c r="BD55" i="22"/>
  <c r="BC53" i="22"/>
  <c r="BC54" i="22"/>
  <c r="BC52" i="22"/>
  <c r="BE1" i="22"/>
  <c r="BD2" i="22"/>
  <c r="BK35" i="22" l="1"/>
  <c r="BJ47" i="22"/>
  <c r="BE55" i="22"/>
  <c r="BD54" i="22"/>
  <c r="BD52" i="22"/>
  <c r="BD53" i="22"/>
  <c r="BF1" i="22"/>
  <c r="BE2" i="22"/>
  <c r="BL35" i="22" l="1"/>
  <c r="BK47" i="22"/>
  <c r="BF55" i="22"/>
  <c r="BE54" i="22"/>
  <c r="BE53" i="22"/>
  <c r="BE52" i="22"/>
  <c r="BG1" i="22"/>
  <c r="BF2" i="22"/>
  <c r="BM35" i="22" l="1"/>
  <c r="BL47" i="22"/>
  <c r="BG55" i="22"/>
  <c r="BF53" i="22"/>
  <c r="BF54" i="22"/>
  <c r="BF52" i="22"/>
  <c r="BH1" i="22"/>
  <c r="BG2" i="22"/>
  <c r="BN35" i="22" l="1"/>
  <c r="BN47" i="22" s="1"/>
  <c r="BM47" i="22"/>
  <c r="BH55" i="22"/>
  <c r="BG53" i="22"/>
  <c r="BG54" i="22"/>
  <c r="BG52" i="22"/>
  <c r="BI1" i="22"/>
  <c r="BH2" i="22"/>
  <c r="BI55" i="22" l="1"/>
  <c r="BH53" i="22"/>
  <c r="BH54" i="22"/>
  <c r="BH52" i="22"/>
  <c r="BJ1" i="22"/>
  <c r="BI2" i="22"/>
  <c r="BJ55" i="22" l="1"/>
  <c r="BI54" i="22"/>
  <c r="BI53" i="22"/>
  <c r="BI52" i="22"/>
  <c r="BK1" i="22"/>
  <c r="BJ2" i="22"/>
  <c r="BK55" i="22" l="1"/>
  <c r="BJ54" i="22"/>
  <c r="BJ53" i="22"/>
  <c r="BJ52" i="22"/>
  <c r="BL1" i="22"/>
  <c r="BK2" i="22"/>
  <c r="BL55" i="22" l="1"/>
  <c r="BK53" i="22"/>
  <c r="BK54" i="22"/>
  <c r="BK52" i="22"/>
  <c r="BM1" i="22"/>
  <c r="BL2" i="22"/>
  <c r="BM55" i="22" l="1"/>
  <c r="BL54" i="22"/>
  <c r="BL53" i="22"/>
  <c r="BL52" i="22"/>
  <c r="BN1" i="22"/>
  <c r="BM2" i="22"/>
  <c r="BN2" i="22" l="1"/>
  <c r="BN55" i="22"/>
  <c r="BM53" i="22"/>
  <c r="BM54" i="22"/>
  <c r="BM52" i="22"/>
  <c r="BN54" i="22" l="1"/>
  <c r="BN53" i="22"/>
  <c r="BN52" i="22"/>
</calcChain>
</file>

<file path=xl/sharedStrings.xml><?xml version="1.0" encoding="utf-8"?>
<sst xmlns="http://schemas.openxmlformats.org/spreadsheetml/2006/main" count="367" uniqueCount="128">
  <si>
    <t>Disturbance</t>
  </si>
  <si>
    <t xml:space="preserve">Pit </t>
  </si>
  <si>
    <t>Dump</t>
  </si>
  <si>
    <t>CDA</t>
  </si>
  <si>
    <t>MIA/HR</t>
  </si>
  <si>
    <t>Water</t>
  </si>
  <si>
    <t>RM1</t>
  </si>
  <si>
    <t>RM2</t>
  </si>
  <si>
    <t>RM3</t>
  </si>
  <si>
    <t>RM4</t>
  </si>
  <si>
    <t>RM5</t>
  </si>
  <si>
    <t>RM6</t>
  </si>
  <si>
    <t>RM7</t>
  </si>
  <si>
    <t>RM8</t>
  </si>
  <si>
    <t>RM9</t>
  </si>
  <si>
    <t>RM10</t>
  </si>
  <si>
    <t>MM1</t>
  </si>
  <si>
    <t>MM2</t>
  </si>
  <si>
    <t>MM3</t>
  </si>
  <si>
    <t>Disturbed</t>
  </si>
  <si>
    <t>Regrade</t>
  </si>
  <si>
    <t>Topsoil</t>
  </si>
  <si>
    <t>Reveg</t>
  </si>
  <si>
    <t>Void</t>
  </si>
  <si>
    <t>Certified</t>
  </si>
  <si>
    <t>Summary Status</t>
  </si>
  <si>
    <t>Regraded</t>
  </si>
  <si>
    <t>Topsoiled</t>
  </si>
  <si>
    <t>Post-mining land uses (PMLU)</t>
  </si>
  <si>
    <t>Rehabilitation area</t>
  </si>
  <si>
    <t>RA1 - Elevated Landform - Overburden Dumps - Upper</t>
  </si>
  <si>
    <t>Relevant activities</t>
  </si>
  <si>
    <t>Overburden / Interburden Waste Dump Tops</t>
  </si>
  <si>
    <t>Total rehabilitation area size (ha)</t>
  </si>
  <si>
    <t>Commencement of first milestone:
RM2</t>
  </si>
  <si>
    <t>PMLU</t>
  </si>
  <si>
    <t>Native Bushland</t>
  </si>
  <si>
    <t>Date area is available</t>
  </si>
  <si>
    <t>Cumulative area available (ha)</t>
  </si>
  <si>
    <t>Milestone completed by</t>
  </si>
  <si>
    <t>Milestone Reference</t>
  </si>
  <si>
    <t>Cumulative area achieved (ha)</t>
  </si>
  <si>
    <t>RM11</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</si>
  <si>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</si>
  <si>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</si>
  <si>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</si>
  <si>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</si>
  <si>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RA2 - Elevated Landform - Overburden Dumps - Slopes</t>
  </si>
  <si>
    <t>Overburden / Interburden Waste Dump Slopes</t>
  </si>
  <si>
    <t>RA3 - Backfilled Pits - Overburden Dumps</t>
  </si>
  <si>
    <t>Overburden / Interburden Waste Dumps within Mined Pit Shell</t>
  </si>
  <si>
    <t>RA4 - Infrastructure Areas - Access Tracks and Haul Roads </t>
  </si>
  <si>
    <t>Product Coal Haul Road and other Surface Mine Haulage and Access Roads</t>
  </si>
  <si>
    <t>Low Intensity Grazing</t>
  </si>
  <si>
    <t>RA5 - Infrastructure Areas - ROM</t>
  </si>
  <si>
    <t>ROM Stockile, Hopper and Crusher/Conveyor</t>
  </si>
  <si>
    <t>Commencement of first milestone:
RM1</t>
  </si>
  <si>
    <t>RA6 - Infrastructure Areas - CHPP General Area</t>
  </si>
  <si>
    <t>Coal Preparation Plant</t>
  </si>
  <si>
    <t>RA7 - Infrastructure Areas - Mine Infrastructure Area</t>
  </si>
  <si>
    <t>Area associated with MIA</t>
  </si>
  <si>
    <t>RA8 - Water Management Structures </t>
  </si>
  <si>
    <t>Dams/Drains/Levees</t>
  </si>
  <si>
    <t>RA9 - Elevated Landform Co-disposal  - Upper</t>
  </si>
  <si>
    <t>Co-disposal Turkey's Nest Dam Site</t>
  </si>
  <si>
    <t>RA10 - Elevated Landform Co-disposal  - Slopes</t>
  </si>
  <si>
    <t>Non-use management area (NUMA)</t>
  </si>
  <si>
    <t>Improvement area</t>
  </si>
  <si>
    <t>IA1 - Residual Voids including Ramps</t>
  </si>
  <si>
    <t>Final Void and Ramps into Void</t>
  </si>
  <si>
    <t>Total size (ha)</t>
  </si>
  <si>
    <t>Commencement of first milestone: 
MM1</t>
  </si>
  <si>
    <t>NUMA</t>
  </si>
  <si>
    <t>Non Use Management Area associated with Pit Void</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</si>
  <si>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</si>
  <si>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</si>
  <si>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</si>
  <si>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</si>
  <si>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Milestone reference</t>
  </si>
  <si>
    <t>Rehabilitation milestone</t>
  </si>
  <si>
    <t>Milestone criteria</t>
  </si>
  <si>
    <t>Infrastructure decommissioning &amp; removal</t>
  </si>
  <si>
    <t>Landform reshaping and final contouring, inclusive of drainage features</t>
  </si>
  <si>
    <t>Install cover system/cap</t>
  </si>
  <si>
    <t>a). Cover installed over reject/coal stockpile surfaces (nominally 1m inert overburden)</t>
  </si>
  <si>
    <t>Surface preparation (e.g. topsoil, fertiliser, amelioration agents, mulch or woody debris)</t>
  </si>
  <si>
    <t>a). Topsoil spread to an minimum depth of 100mm
b). Gypsum applied at rates determined by an AQP
c). Cultivation and keying of topsoil to subsoil with suitable multi-type ripper and performed parallel to slope contours
d). Addition of rock and/or log cover to assist erosion resistance of eventual vegetative ground cover</t>
  </si>
  <si>
    <t>Revegetation (grazing)</t>
  </si>
  <si>
    <t>a). Pasture seed applied in accordance with rehabilitation specification, i.e. seeding rate, seed composition and cultivation to incorporate seed into the uppermost layer of the growth media
b). Seed mix contains a range of native and introduced grass and legume species consistent with surrounding pastural areas</t>
  </si>
  <si>
    <t>Revegetation (native bushland)</t>
  </si>
  <si>
    <t>a). Native seed applied in accordance with rehabilitation specification
b). Seed mix  contains a suitable range of native tree, shrub and grass species consistent with surrounding undisturbed areas</t>
  </si>
  <si>
    <t>Achievement of surface requirements (grazing)</t>
  </si>
  <si>
    <t>Achievement of post-mining land use to stable condition (grazing)</t>
  </si>
  <si>
    <t>a). Certification of rehabilitation to Grazing Class 4 by an AQP</t>
  </si>
  <si>
    <t>Achievement of post-mining land use to stable condition (native bushland)</t>
  </si>
  <si>
    <t>a). Certification of rehabilitation by an AQP (compared to reference sites)</t>
  </si>
  <si>
    <t>Install fencing or other infrastructure to support the PMLU</t>
  </si>
  <si>
    <t>1) Insert new rows below the table to record more Rehabilitation Area Milestones for the project</t>
  </si>
  <si>
    <t>2) Ensure all Rehabilitation Milestones recorded in this table align with those included in the RA sheets in this form.</t>
  </si>
  <si>
    <t>3) See the PRCP guideline before developing site-specific Rehabilitation Area Milestones</t>
  </si>
  <si>
    <t>Management milestone</t>
  </si>
  <si>
    <t>Highwall treatment</t>
  </si>
  <si>
    <t>a). Highwall crest battered back where required to achieve a stable slope angle as specified by an AQP (geotechnical engineer)</t>
  </si>
  <si>
    <t>Achievement of surface requirements / access controls</t>
  </si>
  <si>
    <t>Achievement of sufficient improvement</t>
  </si>
  <si>
    <t>a). Certification from an AQP that the residual void will not cause environmental harm outside of the relevant tenure boundary
b). Certification from an AQP that the residual void does not pose and unacceptable risk to humans or livestock
c). Certification from an appropriately qualified person that the water level and water quality in the final void will not cause environmental harm to the surrounding environment</t>
  </si>
  <si>
    <t>MM4</t>
  </si>
  <si>
    <t>MM5</t>
  </si>
  <si>
    <t>MM6</t>
  </si>
  <si>
    <t>MM7</t>
  </si>
  <si>
    <t>MM8</t>
  </si>
  <si>
    <t>MM9</t>
  </si>
  <si>
    <t>MM10</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</si>
  <si>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</si>
  <si>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</si>
  <si>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</si>
  <si>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a). Stable landform and slope angles (equal to or less than 5.7</t>
    </r>
    <r>
      <rPr>
        <sz val="11"/>
        <color theme="1"/>
        <rFont val="Calibri"/>
        <family val="2"/>
      </rPr>
      <t>° for Native Bushland PMLU, or 4.6° for Grazing PMLU)</t>
    </r>
    <r>
      <rPr>
        <sz val="11"/>
        <color theme="1"/>
        <rFont val="Calibri"/>
        <family val="2"/>
        <scheme val="minor"/>
      </rPr>
      <t xml:space="preserve">
b). Maximum vertical height of elevated landforms &lt;50m
c). All major earthworks completed
d). Contour drains and rock lined drop structures installed as per appropriate design criteria</t>
    </r>
  </si>
  <si>
    <t>Achievement of surface requirements (native bushland)</t>
  </si>
  <si>
    <t>Annual Completed</t>
  </si>
  <si>
    <t>Lookup</t>
  </si>
  <si>
    <t>Max Cumulative</t>
  </si>
  <si>
    <t>Cumulative Status</t>
  </si>
  <si>
    <t>Available</t>
  </si>
  <si>
    <t>a). All services disconnected
b). All buildings either demolished and removed or relocated off site
c). Concrete slabs and footings removed
d). All exploration drill holes not converted to water bores or monitoring bores have been rehabilitated
e). Areas free of hazardous material or are rendered safe</t>
  </si>
  <si>
    <t>a). Species density and diversity achieved is consistent with the sown seed mix, reference sites and surrounding pastural areas
b). 80% of the area has a vegetative groundcover &gt;70% for areas of low rock and logs, &gt;50% for areas of high rock and log content
c). Growth medium (surface 30cm) pH &gt;5.5 and &lt;9.5; Conductivity &lt;1.0dS/m and ESP&lt;15%
D). Invasion of noxious weeds is no worse than surrounding areas
e). Water control structures are either removed or free of active erosion and integrated into permanent landforms
f). Erosion gullies no worse than undisturbed areas with same land use
g). Surface water runoff to receiving waters have contaminant limits that are not significantly different to those of the upstream   reference site
h). Areas free of hazardous materials or are rendered safe</t>
  </si>
  <si>
    <t>a). 80% of the area achieves species density and diversity that is greater than 60% of the reference sites and surrounding areas
b). 80% of the area has a vegetative groundcover &gt;70% for areas of low rock and logs, &gt;50% for areas of high rock and log content
c). Growth medium (surface 20cm) pH &gt;5.5 and &lt;9.5; Conductivity &lt;1.0dS/m and ESP&lt;15%
d). Invasion of noxious weeds is no worse than the reference sites and surrounding areas
e). Water control structures are either removed or free of active erosion and integrated into permanent landforms
f). Erosion gullies are less than 4m² in cross section and no worse than undisturbed areas with same land use                                                                                  g). Surface water runoff to receiving waters have contaminant limits that are not significantly different to those of the upstream   reference site
h). Areas free of hazardous materials or are rendered safe</t>
  </si>
  <si>
    <t>a). Fencing / bunding installed to exclude stock</t>
  </si>
  <si>
    <t>a). Abandonment bund setback distance is in accordance with calculated geotechnical factor of safety
b). Abandonment bund constructed of competent rock and to geometry specified to prevent traversing by vehicles
c). Residual void outside of PMF
d). Fencing erected on the outside of the abandonment bund to specification (nominally five strand barbed stock fencing)
e). Safety signage (design in accordance with Australian Standard) erected at specified intervals along the fence line (nominally one sign every 100m)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</si>
</sst>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d/mm/yy;@"/>
    <numFmt numFmtId="165" formatCode="0.0"/>
    <numFmt numFmtId="166" formatCode="d/mm/yyyy;@"/>
    <numFmt numFmtId="167" formatCode="_-* #,##0.0_-;\-* #,##0.0_-;_-* &quot;-&quot;??_-;_-@_-"/>
  </numFmts>
  <fonts count="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color theme="1"/>
      <name val="Calibri"/>
      <family val="2"/>
    </font>
    <font>
      <b/>
      <sz val="11"/>
      <color rgb="FF000000"/>
      <name val="Calibri"/>
      <family val="2"/>
    </font>
    <font>
      <sz val="11"/>
      <color rgb="FF000000"/>
      <name val="Calibri"/>
      <family val="2"/>
    </font>
    <font>
      <sz val="11"/>
      <color theme="4" tint="0.79998168889431442"/>
      <name val="Calibri"/>
      <family val="2"/>
    </font>
    <font>
      <sz val="11"/>
      <color theme="4" tint="0.79998168889431442"/>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D9D9D9"/>
        <bgColor rgb="FF000000"/>
      </patternFill>
    </fill>
    <fill>
      <patternFill patternType="solid">
        <fgColor rgb="FFDDEBF7"/>
        <bgColor rgb="FF000000"/>
      </patternFill>
    </fill>
    <fill>
      <patternFill patternType="solid">
        <fgColor rgb="FFFFFF00"/>
        <bgColor indexed="64"/>
      </patternFill>
    </fill>
    <fill>
      <patternFill patternType="solid">
        <fgColor rgb="FFFFFFCC"/>
        <bgColor indexed="64"/>
      </patternFill>
    </fill>
  </fills>
  <borders count="1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right style="medium">
        <color auto="1"/>
      </right>
      <top style="medium">
        <color auto="1"/>
      </top>
      <bottom style="thick">
        <color theme="8"/>
      </bottom>
      <diagonal/>
    </border>
    <border>
      <left style="medium">
        <color auto="1"/>
      </left>
      <right style="medium">
        <color auto="1"/>
      </right>
      <top style="medium">
        <color auto="1"/>
      </top>
      <bottom style="thick">
        <color theme="8"/>
      </bottom>
      <diagonal/>
    </border>
    <border>
      <left style="medium">
        <color auto="1"/>
      </left>
      <right/>
      <top style="medium">
        <color auto="1"/>
      </top>
      <bottom style="thick">
        <color theme="8"/>
      </bottom>
      <diagonal/>
    </border>
  </borders>
  <cellStyleXfs count="1">
    <xf numFmtId="0" fontId="0" fillId="0" borderId="0"/>
  </cellStyleXfs>
  <cellXfs count="104">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0" borderId="2" xfId="0" applyBorder="1" applyAlignment="1">
      <alignment horizontal="left" vertical="center"/>
    </xf>
    <xf numFmtId="0" fontId="0" fillId="0" borderId="5" xfId="0" applyBorder="1" applyAlignment="1">
      <alignment horizontal="left" vertical="center"/>
    </xf>
    <xf numFmtId="0" fontId="0" fillId="0" borderId="0" xfId="0" applyFill="1"/>
    <xf numFmtId="164" fontId="0" fillId="7" borderId="1" xfId="0" applyNumberFormat="1"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8" borderId="8" xfId="0" applyFill="1" applyBorder="1" applyAlignment="1">
      <alignment horizontal="center" vertical="center"/>
    </xf>
    <xf numFmtId="1" fontId="0" fillId="7" borderId="13" xfId="0" applyNumberFormat="1" applyFill="1" applyBorder="1" applyAlignment="1">
      <alignment horizontal="center" vertical="center"/>
    </xf>
    <xf numFmtId="1" fontId="0" fillId="7" borderId="15" xfId="0" applyNumberFormat="1" applyFill="1" applyBorder="1" applyAlignment="1">
      <alignment horizontal="center" vertical="center"/>
    </xf>
    <xf numFmtId="0" fontId="0" fillId="2" borderId="1" xfId="0" applyFill="1" applyBorder="1" applyAlignment="1">
      <alignment horizontal="left" vertical="center" wrapText="1"/>
    </xf>
    <xf numFmtId="49" fontId="0" fillId="0" borderId="2" xfId="0" applyNumberFormat="1" applyBorder="1" applyAlignment="1">
      <alignment horizontal="left" vertical="center" wrapText="1"/>
    </xf>
    <xf numFmtId="0" fontId="0" fillId="2" borderId="10" xfId="0" applyFill="1" applyBorder="1" applyAlignment="1">
      <alignment horizontal="left" vertical="center" wrapText="1"/>
    </xf>
    <xf numFmtId="49" fontId="0" fillId="0" borderId="5" xfId="0" applyNumberFormat="1" applyBorder="1" applyAlignment="1">
      <alignment horizontal="left" vertical="center"/>
    </xf>
    <xf numFmtId="49" fontId="0" fillId="0" borderId="2" xfId="0" applyNumberFormat="1" applyBorder="1" applyAlignment="1">
      <alignment horizontal="left" vertical="center"/>
    </xf>
    <xf numFmtId="0" fontId="0" fillId="0" borderId="2" xfId="0" applyBorder="1" applyAlignment="1">
      <alignment horizontal="left" vertical="center" wrapText="1"/>
    </xf>
    <xf numFmtId="0" fontId="5" fillId="9" borderId="1" xfId="0" applyFont="1" applyFill="1" applyBorder="1" applyAlignment="1">
      <alignment wrapText="1"/>
    </xf>
    <xf numFmtId="0" fontId="6" fillId="10" borderId="1" xfId="0" applyFont="1" applyFill="1" applyBorder="1" applyAlignment="1">
      <alignment wrapText="1"/>
    </xf>
    <xf numFmtId="0" fontId="6" fillId="10" borderId="7" xfId="0" applyFont="1" applyFill="1" applyBorder="1" applyAlignment="1">
      <alignment wrapText="1"/>
    </xf>
    <xf numFmtId="0" fontId="6" fillId="10" borderId="8" xfId="0" applyFont="1" applyFill="1" applyBorder="1" applyAlignment="1">
      <alignment wrapText="1"/>
    </xf>
    <xf numFmtId="1" fontId="6" fillId="10" borderId="1" xfId="0" applyNumberFormat="1" applyFont="1" applyFill="1" applyBorder="1" applyAlignment="1">
      <alignment wrapText="1"/>
    </xf>
    <xf numFmtId="1" fontId="6" fillId="10" borderId="7" xfId="0" applyNumberFormat="1" applyFont="1" applyFill="1" applyBorder="1" applyAlignment="1">
      <alignment wrapText="1"/>
    </xf>
    <xf numFmtId="1" fontId="6" fillId="10" borderId="8" xfId="0" applyNumberFormat="1" applyFont="1" applyFill="1" applyBorder="1" applyAlignment="1">
      <alignment wrapText="1"/>
    </xf>
    <xf numFmtId="1" fontId="0" fillId="8" borderId="1" xfId="0" applyNumberFormat="1" applyFill="1" applyBorder="1" applyAlignment="1">
      <alignment horizontal="center" vertical="center"/>
    </xf>
    <xf numFmtId="1" fontId="0" fillId="8" borderId="2" xfId="0" applyNumberFormat="1" applyFill="1" applyBorder="1" applyAlignment="1">
      <alignment horizontal="center" vertical="center"/>
    </xf>
    <xf numFmtId="1" fontId="0" fillId="8" borderId="10" xfId="0" applyNumberFormat="1" applyFill="1" applyBorder="1" applyAlignment="1">
      <alignment horizontal="center" vertical="center"/>
    </xf>
    <xf numFmtId="1" fontId="0" fillId="8" borderId="5" xfId="0" applyNumberFormat="1" applyFill="1" applyBorder="1" applyAlignment="1">
      <alignment horizontal="center" vertical="center"/>
    </xf>
    <xf numFmtId="165" fontId="0" fillId="7" borderId="13" xfId="0" applyNumberFormat="1" applyFill="1" applyBorder="1" applyAlignment="1">
      <alignment horizontal="center" vertical="center"/>
    </xf>
    <xf numFmtId="165" fontId="0" fillId="7" borderId="15" xfId="0" applyNumberFormat="1" applyFill="1" applyBorder="1" applyAlignment="1">
      <alignment horizontal="center" vertical="center"/>
    </xf>
    <xf numFmtId="165" fontId="0" fillId="8" borderId="1" xfId="0" applyNumberFormat="1" applyFill="1" applyBorder="1" applyAlignment="1">
      <alignment horizontal="center" vertical="center"/>
    </xf>
    <xf numFmtId="165" fontId="0" fillId="8" borderId="8" xfId="0" applyNumberFormat="1" applyFill="1" applyBorder="1" applyAlignment="1">
      <alignment horizontal="center" vertical="center"/>
    </xf>
    <xf numFmtId="165" fontId="0" fillId="8" borderId="10" xfId="0" applyNumberFormat="1" applyFill="1" applyBorder="1" applyAlignment="1">
      <alignment horizontal="center" vertical="center"/>
    </xf>
    <xf numFmtId="1" fontId="0" fillId="8" borderId="8" xfId="0" applyNumberFormat="1" applyFill="1" applyBorder="1" applyAlignment="1">
      <alignment horizontal="center" vertical="center"/>
    </xf>
    <xf numFmtId="165" fontId="6" fillId="10" borderId="1" xfId="0" applyNumberFormat="1" applyFont="1" applyFill="1" applyBorder="1" applyAlignment="1">
      <alignment wrapText="1"/>
    </xf>
    <xf numFmtId="165" fontId="6" fillId="8" borderId="8" xfId="0" applyNumberFormat="1" applyFont="1" applyFill="1" applyBorder="1" applyAlignment="1">
      <alignment horizontal="center" vertical="center"/>
    </xf>
    <xf numFmtId="165" fontId="6" fillId="10" borderId="7" xfId="0" applyNumberFormat="1" applyFont="1" applyFill="1" applyBorder="1" applyAlignment="1">
      <alignment wrapText="1"/>
    </xf>
    <xf numFmtId="165" fontId="6" fillId="8" borderId="1" xfId="0" applyNumberFormat="1" applyFont="1" applyFill="1" applyBorder="1" applyAlignment="1">
      <alignment horizontal="center" vertical="center"/>
    </xf>
    <xf numFmtId="14" fontId="0" fillId="11" borderId="0" xfId="0" applyNumberFormat="1" applyFill="1"/>
    <xf numFmtId="166" fontId="0" fillId="0" borderId="0" xfId="0" applyNumberFormat="1"/>
    <xf numFmtId="43" fontId="0" fillId="0" borderId="0" xfId="0" applyNumberFormat="1"/>
    <xf numFmtId="165" fontId="0" fillId="0" borderId="0" xfId="0" applyNumberFormat="1"/>
    <xf numFmtId="167" fontId="0" fillId="0" borderId="0" xfId="0" applyNumberFormat="1"/>
    <xf numFmtId="0" fontId="0" fillId="12" borderId="0" xfId="0" applyFill="1"/>
    <xf numFmtId="167" fontId="0" fillId="12" borderId="0" xfId="0" applyNumberFormat="1" applyFill="1"/>
    <xf numFmtId="0" fontId="1" fillId="3" borderId="13" xfId="0" applyFont="1" applyFill="1" applyBorder="1" applyAlignment="1">
      <alignment wrapText="1"/>
    </xf>
    <xf numFmtId="164" fontId="0" fillId="7" borderId="15" xfId="0" applyNumberFormat="1" applyFill="1" applyBorder="1" applyAlignment="1">
      <alignment horizontal="center" vertical="center"/>
    </xf>
    <xf numFmtId="1" fontId="0" fillId="7" borderId="17" xfId="0" applyNumberFormat="1" applyFill="1" applyBorder="1" applyAlignment="1">
      <alignment horizontal="center" vertical="center"/>
    </xf>
    <xf numFmtId="1" fontId="0" fillId="7" borderId="16" xfId="0" applyNumberFormat="1" applyFill="1" applyBorder="1" applyAlignment="1">
      <alignment horizontal="center" vertical="center"/>
    </xf>
    <xf numFmtId="1" fontId="0" fillId="7" borderId="18" xfId="0" applyNumberFormat="1" applyFill="1" applyBorder="1" applyAlignment="1">
      <alignment horizontal="center" vertical="center"/>
    </xf>
    <xf numFmtId="165" fontId="0" fillId="7" borderId="17" xfId="0" applyNumberFormat="1" applyFill="1" applyBorder="1" applyAlignment="1">
      <alignment horizontal="center" vertical="center"/>
    </xf>
    <xf numFmtId="165" fontId="0" fillId="7" borderId="16" xfId="0" applyNumberFormat="1" applyFill="1" applyBorder="1" applyAlignment="1">
      <alignment horizontal="center" vertical="center"/>
    </xf>
    <xf numFmtId="0" fontId="5" fillId="9" borderId="0" xfId="0" applyFont="1" applyFill="1" applyBorder="1" applyAlignment="1">
      <alignment wrapText="1"/>
    </xf>
    <xf numFmtId="0" fontId="0" fillId="8" borderId="0" xfId="0" applyFill="1" applyBorder="1" applyAlignment="1">
      <alignment horizontal="center" vertical="center"/>
    </xf>
    <xf numFmtId="1" fontId="0" fillId="8" borderId="0" xfId="0" applyNumberFormat="1" applyFill="1" applyBorder="1" applyAlignment="1">
      <alignment horizontal="center" vertical="center"/>
    </xf>
    <xf numFmtId="0" fontId="5" fillId="0" borderId="0" xfId="0" applyFont="1" applyFill="1" applyBorder="1" applyAlignment="1">
      <alignment wrapText="1"/>
    </xf>
    <xf numFmtId="0" fontId="0" fillId="0" borderId="0" xfId="0" applyFill="1" applyBorder="1" applyAlignment="1">
      <alignment horizontal="center" vertical="center"/>
    </xf>
    <xf numFmtId="1" fontId="0" fillId="0" borderId="0" xfId="0" applyNumberFormat="1" applyFill="1" applyBorder="1" applyAlignment="1">
      <alignment horizontal="center" vertical="center"/>
    </xf>
    <xf numFmtId="1" fontId="7" fillId="10" borderId="1" xfId="0" applyNumberFormat="1" applyFont="1" applyFill="1" applyBorder="1" applyAlignment="1">
      <alignment wrapText="1"/>
    </xf>
    <xf numFmtId="0" fontId="7" fillId="10" borderId="1" xfId="0" applyFont="1" applyFill="1" applyBorder="1" applyAlignment="1">
      <alignment wrapText="1"/>
    </xf>
    <xf numFmtId="1" fontId="8" fillId="8" borderId="1" xfId="0" applyNumberFormat="1" applyFont="1" applyFill="1" applyBorder="1" applyAlignment="1">
      <alignment horizontal="center" vertical="center"/>
    </xf>
    <xf numFmtId="0" fontId="8" fillId="8" borderId="1" xfId="0" applyFont="1" applyFill="1" applyBorder="1" applyAlignment="1">
      <alignment horizontal="center" vertical="center"/>
    </xf>
    <xf numFmtId="1" fontId="8" fillId="8" borderId="8" xfId="0" applyNumberFormat="1" applyFont="1" applyFill="1" applyBorder="1" applyAlignment="1">
      <alignment horizontal="center" vertical="center"/>
    </xf>
    <xf numFmtId="165" fontId="7" fillId="8" borderId="8" xfId="0" applyNumberFormat="1" applyFont="1" applyFill="1" applyBorder="1" applyAlignment="1">
      <alignment horizontal="center" vertical="center"/>
    </xf>
    <xf numFmtId="165" fontId="7" fillId="10" borderId="1" xfId="0" applyNumberFormat="1" applyFont="1" applyFill="1" applyBorder="1" applyAlignment="1">
      <alignment wrapText="1"/>
    </xf>
    <xf numFmtId="165" fontId="7" fillId="10" borderId="7" xfId="0" applyNumberFormat="1" applyFont="1" applyFill="1" applyBorder="1" applyAlignment="1">
      <alignment wrapText="1"/>
    </xf>
    <xf numFmtId="0" fontId="8" fillId="8" borderId="10" xfId="0" applyFont="1" applyFill="1" applyBorder="1" applyAlignment="1">
      <alignment horizontal="center" vertical="center"/>
    </xf>
    <xf numFmtId="1" fontId="8" fillId="8" borderId="10" xfId="0" applyNumberFormat="1" applyFont="1" applyFill="1" applyBorder="1" applyAlignment="1">
      <alignment horizontal="center" vertical="center"/>
    </xf>
    <xf numFmtId="0" fontId="1" fillId="3" borderId="1" xfId="0" applyFont="1" applyFill="1" applyBorder="1" applyAlignment="1">
      <alignment wrapText="1"/>
    </xf>
    <xf numFmtId="1"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 fontId="0" fillId="7" borderId="4" xfId="0" applyNumberFormat="1" applyFill="1" applyBorder="1" applyAlignment="1">
      <alignment horizontal="center" vertical="center"/>
    </xf>
    <xf numFmtId="1" fontId="0" fillId="7" borderId="2" xfId="0" applyNumberForma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 fontId="0" fillId="2" borderId="1" xfId="0" applyNumberFormat="1" applyFill="1" applyBorder="1" applyAlignment="1">
      <alignment horizontal="center"/>
    </xf>
    <xf numFmtId="16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165" fontId="0" fillId="2" borderId="1" xfId="0" applyNumberFormat="1" applyFill="1" applyBorder="1" applyAlignment="1">
      <alignment horizontal="center"/>
    </xf>
  </cellXfs>
  <cellStyles count="1">
    <cellStyle name="Normal" xfId="0" builtinId="0"/>
  </cellStyles>
  <dxfs count="1634">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border outline="0">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b val="0"/>
        <i val="0"/>
        <strike val="0"/>
        <condense val="0"/>
        <extend val="0"/>
        <outline val="0"/>
        <shadow val="0"/>
        <u val="none"/>
        <vertAlign val="baseline"/>
        <sz val="11"/>
        <color rgb="FF000000"/>
        <name val="Calibri"/>
        <family val="2"/>
        <scheme val="none"/>
      </font>
      <numFmt numFmtId="165" formatCode="0.0"/>
      <fill>
        <patternFill patternType="solid">
          <fgColor rgb="FF000000"/>
          <bgColor rgb="FFDDEBF7"/>
        </patternFill>
      </fill>
      <alignment horizontal="general" vertical="bottom" textRotation="0" wrapText="1" indent="0" justifyLastLine="0" shrinkToFit="0" readingOrder="0"/>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65" formatCode="0.0"/>
      <fill>
        <patternFill patternType="solid">
          <fgColor rgb="FF000000"/>
          <bgColor rgb="FFDDEBF7"/>
        </patternFill>
      </fill>
      <alignment horizontal="general" vertical="bottom" textRotation="0" wrapText="1" indent="0" justifyLastLine="0" shrinkToFit="0" readingOrder="0"/>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65" formatCode="0.0"/>
      <fill>
        <patternFill patternType="solid">
          <fgColor rgb="FF000000"/>
          <bgColor rgb="FFDDEBF7"/>
        </patternFill>
      </fill>
      <alignment horizontal="general" vertical="bottom" textRotation="0" wrapText="1" indent="0" justifyLastLine="0" shrinkToFit="0" readingOrder="0"/>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border>
    </dxf>
    <dxf>
      <numFmt numFmtId="165" formatCode="0.0"/>
      <border outline="0">
        <left style="medium">
          <color auto="1"/>
        </left>
      </border>
    </dxf>
    <dxf>
      <border diagonalUp="0" diagonalDown="0" outline="0">
        <left style="medium">
          <color auto="1"/>
        </left>
        <right style="medium">
          <color auto="1"/>
        </right>
        <top/>
        <bottom/>
      </border>
    </dxf>
    <dxf>
      <numFmt numFmtId="165" formatCode="0.0"/>
      <border outline="0">
        <left style="medium">
          <color auto="1"/>
        </left>
      </border>
    </dxf>
    <dxf>
      <border diagonalUp="0" diagonalDown="0" outline="0">
        <left style="medium">
          <color auto="1"/>
        </left>
        <right style="medium">
          <color auto="1"/>
        </right>
        <top/>
        <bottom/>
      </border>
    </dxf>
    <dxf>
      <numFmt numFmtId="165" formatCode="0.0"/>
      <border outline="0">
        <left style="medium">
          <color auto="1"/>
        </left>
      </border>
    </dxf>
    <dxf>
      <border diagonalUp="0" diagonalDown="0" outline="0">
        <left style="medium">
          <color auto="1"/>
        </left>
        <right style="medium">
          <color auto="1"/>
        </right>
        <top/>
        <bottom/>
      </border>
    </dxf>
    <dxf>
      <numFmt numFmtId="165" formatCode="0.0"/>
      <border outline="0">
        <left style="medium">
          <color auto="1"/>
        </left>
      </border>
    </dxf>
    <dxf>
      <border diagonalUp="0" diagonalDown="0" outline="0">
        <left style="medium">
          <color auto="1"/>
        </left>
        <right style="medium">
          <color auto="1"/>
        </right>
        <top/>
        <bottom/>
      </border>
    </dxf>
    <dxf>
      <numFmt numFmtId="165" formatCode="0.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font>
        <color rgb="FF000000"/>
      </font>
      <numFmt numFmtId="165" formatCode="0.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color rgb="FF000000"/>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border diagonalUp="0" diagonalDown="0" outline="0">
        <left style="medium">
          <color auto="1"/>
        </left>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633"/>
      <tableStyleElement type="firstColumn" dxfId="1632"/>
    </tableStyle>
    <tableStyle name="Table Style 2" pivot="0" count="2" xr9:uid="{00000000-0011-0000-FFFF-FFFF01000000}">
      <tableStyleElement type="wholeTable" dxfId="1631"/>
      <tableStyleElement type="firstColumn" dxfId="1630"/>
    </tableStyle>
    <tableStyle name="Table Style 3" pivot="0" count="4" xr9:uid="{00000000-0011-0000-FFFF-FFFF02000000}">
      <tableStyleElement type="wholeTable" dxfId="1629"/>
      <tableStyleElement type="headerRow" dxfId="1628"/>
      <tableStyleElement type="firstColumn" dxfId="1627"/>
      <tableStyleElement type="secondColumnStripe" dxfId="1626"/>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Summary!$A$50</c:f>
              <c:strCache>
                <c:ptCount val="1"/>
                <c:pt idx="0">
                  <c:v>Disturbed</c:v>
                </c:pt>
              </c:strCache>
            </c:strRef>
          </c:tx>
          <c:spPr>
            <a:solidFill>
              <a:schemeClr val="accent1"/>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Summary!$D$50:$BN$50</c:f>
              <c:numCache>
                <c:formatCode>0.0</c:formatCode>
                <c:ptCount val="63"/>
                <c:pt idx="0">
                  <c:v>0</c:v>
                </c:pt>
                <c:pt idx="1">
                  <c:v>729.56120186411579</c:v>
                </c:pt>
                <c:pt idx="2">
                  <c:v>903.65681792167447</c:v>
                </c:pt>
                <c:pt idx="3">
                  <c:v>967.03631796255422</c:v>
                </c:pt>
                <c:pt idx="4">
                  <c:v>1198.0823657100809</c:v>
                </c:pt>
                <c:pt idx="5">
                  <c:v>1379.2096226800752</c:v>
                </c:pt>
                <c:pt idx="6">
                  <c:v>1410.3011949145614</c:v>
                </c:pt>
                <c:pt idx="7">
                  <c:v>1423.9856198184941</c:v>
                </c:pt>
                <c:pt idx="8">
                  <c:v>1411.8215450903444</c:v>
                </c:pt>
                <c:pt idx="9">
                  <c:v>1390.2830887090183</c:v>
                </c:pt>
                <c:pt idx="10">
                  <c:v>1303.4595213800999</c:v>
                </c:pt>
                <c:pt idx="11">
                  <c:v>1136.5945894039737</c:v>
                </c:pt>
                <c:pt idx="12">
                  <c:v>1234.6948311667079</c:v>
                </c:pt>
                <c:pt idx="13">
                  <c:v>1403.3512644918651</c:v>
                </c:pt>
                <c:pt idx="14">
                  <c:v>1364.7444253127301</c:v>
                </c:pt>
                <c:pt idx="15">
                  <c:v>1337.4101892731587</c:v>
                </c:pt>
                <c:pt idx="16">
                  <c:v>1342.5850554329165</c:v>
                </c:pt>
                <c:pt idx="17">
                  <c:v>1357.3728968195574</c:v>
                </c:pt>
                <c:pt idx="18">
                  <c:v>1370.130441991661</c:v>
                </c:pt>
                <c:pt idx="19">
                  <c:v>1347.4880000000003</c:v>
                </c:pt>
                <c:pt idx="20">
                  <c:v>1312.8700000000003</c:v>
                </c:pt>
                <c:pt idx="21">
                  <c:v>1247.5800000000002</c:v>
                </c:pt>
                <c:pt idx="22">
                  <c:v>1212.3070000000002</c:v>
                </c:pt>
                <c:pt idx="23">
                  <c:v>1212.3070000000002</c:v>
                </c:pt>
                <c:pt idx="24">
                  <c:v>1212.3070000000002</c:v>
                </c:pt>
                <c:pt idx="25">
                  <c:v>1177.7690000000002</c:v>
                </c:pt>
                <c:pt idx="26">
                  <c:v>1177.7690000000002</c:v>
                </c:pt>
                <c:pt idx="27">
                  <c:v>1006.1690000000002</c:v>
                </c:pt>
                <c:pt idx="28">
                  <c:v>696.3480000000003</c:v>
                </c:pt>
                <c:pt idx="29">
                  <c:v>479.45500000000004</c:v>
                </c:pt>
                <c:pt idx="30">
                  <c:v>326.5870000000001</c:v>
                </c:pt>
                <c:pt idx="31">
                  <c:v>-1.300000000000523E-2</c:v>
                </c:pt>
                <c:pt idx="32">
                  <c:v>-1.300000000000523E-2</c:v>
                </c:pt>
                <c:pt idx="33">
                  <c:v>-1.300000000000523E-2</c:v>
                </c:pt>
                <c:pt idx="34">
                  <c:v>-1.300000000000523E-2</c:v>
                </c:pt>
                <c:pt idx="35">
                  <c:v>-1.300000000000523E-2</c:v>
                </c:pt>
                <c:pt idx="36">
                  <c:v>-1.300000000000523E-2</c:v>
                </c:pt>
                <c:pt idx="37">
                  <c:v>-1.300000000000523E-2</c:v>
                </c:pt>
                <c:pt idx="38">
                  <c:v>-1.300000000000523E-2</c:v>
                </c:pt>
                <c:pt idx="39">
                  <c:v>-1.300000000000523E-2</c:v>
                </c:pt>
                <c:pt idx="40">
                  <c:v>-1.300000000000523E-2</c:v>
                </c:pt>
                <c:pt idx="41">
                  <c:v>-1.300000000000523E-2</c:v>
                </c:pt>
                <c:pt idx="42">
                  <c:v>-1.300000000000523E-2</c:v>
                </c:pt>
                <c:pt idx="43">
                  <c:v>-1.300000000000523E-2</c:v>
                </c:pt>
                <c:pt idx="44">
                  <c:v>-1.300000000000523E-2</c:v>
                </c:pt>
                <c:pt idx="45">
                  <c:v>-1.300000000000523E-2</c:v>
                </c:pt>
                <c:pt idx="46">
                  <c:v>-1.300000000000523E-2</c:v>
                </c:pt>
                <c:pt idx="47">
                  <c:v>-1.300000000000523E-2</c:v>
                </c:pt>
                <c:pt idx="48">
                  <c:v>-1.300000000000523E-2</c:v>
                </c:pt>
                <c:pt idx="49">
                  <c:v>-1.300000000000523E-2</c:v>
                </c:pt>
                <c:pt idx="50">
                  <c:v>-1.300000000000523E-2</c:v>
                </c:pt>
                <c:pt idx="51">
                  <c:v>-1.300000000000523E-2</c:v>
                </c:pt>
                <c:pt idx="52">
                  <c:v>-1.300000000000523E-2</c:v>
                </c:pt>
                <c:pt idx="53">
                  <c:v>-1.300000000000523E-2</c:v>
                </c:pt>
                <c:pt idx="54">
                  <c:v>-1.300000000000523E-2</c:v>
                </c:pt>
                <c:pt idx="55">
                  <c:v>-1.300000000000523E-2</c:v>
                </c:pt>
                <c:pt idx="56">
                  <c:v>-1.300000000000523E-2</c:v>
                </c:pt>
                <c:pt idx="57">
                  <c:v>-1.300000000000523E-2</c:v>
                </c:pt>
                <c:pt idx="58">
                  <c:v>-1.300000000000523E-2</c:v>
                </c:pt>
                <c:pt idx="59">
                  <c:v>-1.300000000000523E-2</c:v>
                </c:pt>
                <c:pt idx="60">
                  <c:v>-1.300000000000523E-2</c:v>
                </c:pt>
                <c:pt idx="61">
                  <c:v>-1.300000000000523E-2</c:v>
                </c:pt>
                <c:pt idx="62">
                  <c:v>-1.300000000000523E-2</c:v>
                </c:pt>
              </c:numCache>
            </c:numRef>
          </c:val>
          <c:extLst>
            <c:ext xmlns:c16="http://schemas.microsoft.com/office/drawing/2014/chart" uri="{C3380CC4-5D6E-409C-BE32-E72D297353CC}">
              <c16:uniqueId val="{00000000-BDB7-406C-9561-1D7B765CA671}"/>
            </c:ext>
          </c:extLst>
        </c:ser>
        <c:ser>
          <c:idx val="1"/>
          <c:order val="1"/>
          <c:tx>
            <c:strRef>
              <c:f>Summary!$A$52</c:f>
              <c:strCache>
                <c:ptCount val="1"/>
                <c:pt idx="0">
                  <c:v>Regraded</c:v>
                </c:pt>
              </c:strCache>
            </c:strRef>
          </c:tx>
          <c:spPr>
            <a:solidFill>
              <a:schemeClr val="accent2"/>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Summary!$D$52:$BN$52</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1-BDB7-406C-9561-1D7B765CA671}"/>
            </c:ext>
          </c:extLst>
        </c:ser>
        <c:ser>
          <c:idx val="2"/>
          <c:order val="2"/>
          <c:tx>
            <c:strRef>
              <c:f>Summary!$A$53</c:f>
              <c:strCache>
                <c:ptCount val="1"/>
                <c:pt idx="0">
                  <c:v>Topsoiled</c:v>
                </c:pt>
              </c:strCache>
            </c:strRef>
          </c:tx>
          <c:spPr>
            <a:solidFill>
              <a:schemeClr val="accent3"/>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Summary!$D$53:$BN$53</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2-BDB7-406C-9561-1D7B765CA671}"/>
            </c:ext>
          </c:extLst>
        </c:ser>
        <c:ser>
          <c:idx val="3"/>
          <c:order val="3"/>
          <c:tx>
            <c:strRef>
              <c:f>Summary!$A$54</c:f>
              <c:strCache>
                <c:ptCount val="1"/>
                <c:pt idx="0">
                  <c:v>Reveg</c:v>
                </c:pt>
              </c:strCache>
            </c:strRef>
          </c:tx>
          <c:spPr>
            <a:solidFill>
              <a:schemeClr val="accent4"/>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Summary!$D$54:$BN$54</c:f>
              <c:numCache>
                <c:formatCode>0.0</c:formatCode>
                <c:ptCount val="63"/>
                <c:pt idx="0">
                  <c:v>0</c:v>
                </c:pt>
                <c:pt idx="1">
                  <c:v>0</c:v>
                </c:pt>
                <c:pt idx="2">
                  <c:v>0</c:v>
                </c:pt>
                <c:pt idx="3">
                  <c:v>0</c:v>
                </c:pt>
                <c:pt idx="4">
                  <c:v>0</c:v>
                </c:pt>
                <c:pt idx="5">
                  <c:v>0</c:v>
                </c:pt>
                <c:pt idx="6">
                  <c:v>0</c:v>
                </c:pt>
                <c:pt idx="7">
                  <c:v>33.869</c:v>
                </c:pt>
                <c:pt idx="8">
                  <c:v>78.697000000000003</c:v>
                </c:pt>
                <c:pt idx="9">
                  <c:v>129.40700000000001</c:v>
                </c:pt>
                <c:pt idx="10">
                  <c:v>241.43900000000002</c:v>
                </c:pt>
                <c:pt idx="11">
                  <c:v>433.27699999999999</c:v>
                </c:pt>
                <c:pt idx="12">
                  <c:v>509.03999999999996</c:v>
                </c:pt>
                <c:pt idx="13">
                  <c:v>543.51400000000001</c:v>
                </c:pt>
                <c:pt idx="14">
                  <c:v>601.03399999999999</c:v>
                </c:pt>
                <c:pt idx="15">
                  <c:v>657.9899999999999</c:v>
                </c:pt>
                <c:pt idx="16">
                  <c:v>680.76199999999994</c:v>
                </c:pt>
                <c:pt idx="17">
                  <c:v>701.06399999999985</c:v>
                </c:pt>
                <c:pt idx="18">
                  <c:v>701.06399999999985</c:v>
                </c:pt>
                <c:pt idx="19">
                  <c:v>725.3119999999999</c:v>
                </c:pt>
                <c:pt idx="20">
                  <c:v>759.93</c:v>
                </c:pt>
                <c:pt idx="21">
                  <c:v>825.22</c:v>
                </c:pt>
                <c:pt idx="22">
                  <c:v>860.49299999999994</c:v>
                </c:pt>
                <c:pt idx="23">
                  <c:v>860.49299999999994</c:v>
                </c:pt>
                <c:pt idx="24">
                  <c:v>860.49299999999994</c:v>
                </c:pt>
                <c:pt idx="25">
                  <c:v>895.03099999999995</c:v>
                </c:pt>
                <c:pt idx="26">
                  <c:v>895.03099999999995</c:v>
                </c:pt>
                <c:pt idx="27">
                  <c:v>1066.6309999999999</c:v>
                </c:pt>
                <c:pt idx="28">
                  <c:v>1376.4519999999998</c:v>
                </c:pt>
                <c:pt idx="29">
                  <c:v>1421.7450000000001</c:v>
                </c:pt>
                <c:pt idx="30">
                  <c:v>1534.6130000000003</c:v>
                </c:pt>
                <c:pt idx="31">
                  <c:v>1547.2130000000002</c:v>
                </c:pt>
                <c:pt idx="32">
                  <c:v>1547.2130000000002</c:v>
                </c:pt>
                <c:pt idx="33">
                  <c:v>1547.2130000000002</c:v>
                </c:pt>
                <c:pt idx="34">
                  <c:v>1547.2130000000002</c:v>
                </c:pt>
                <c:pt idx="35">
                  <c:v>1405.2130000000002</c:v>
                </c:pt>
                <c:pt idx="36">
                  <c:v>1405.2130000000002</c:v>
                </c:pt>
                <c:pt idx="37">
                  <c:v>1405.2130000000002</c:v>
                </c:pt>
                <c:pt idx="38">
                  <c:v>1381.2130000000002</c:v>
                </c:pt>
                <c:pt idx="39">
                  <c:v>727.21300000000031</c:v>
                </c:pt>
                <c:pt idx="40">
                  <c:v>699.21000000000038</c:v>
                </c:pt>
                <c:pt idx="41">
                  <c:v>540.31000000000029</c:v>
                </c:pt>
                <c:pt idx="42">
                  <c:v>540.31000000000029</c:v>
                </c:pt>
                <c:pt idx="43">
                  <c:v>540.31000000000029</c:v>
                </c:pt>
                <c:pt idx="44">
                  <c:v>540.31000000000029</c:v>
                </c:pt>
                <c:pt idx="45">
                  <c:v>506.31000000000029</c:v>
                </c:pt>
                <c:pt idx="46">
                  <c:v>506.31000000000029</c:v>
                </c:pt>
                <c:pt idx="47">
                  <c:v>506.31000000000029</c:v>
                </c:pt>
                <c:pt idx="48">
                  <c:v>327.21000000000015</c:v>
                </c:pt>
                <c:pt idx="49">
                  <c:v>327.21000000000015</c:v>
                </c:pt>
                <c:pt idx="50">
                  <c:v>-8.9999999999605507E-2</c:v>
                </c:pt>
                <c:pt idx="51">
                  <c:v>-8.9999999999605507E-2</c:v>
                </c:pt>
                <c:pt idx="52">
                  <c:v>-8.9999999999605507E-2</c:v>
                </c:pt>
                <c:pt idx="53">
                  <c:v>-8.9999999999605507E-2</c:v>
                </c:pt>
                <c:pt idx="54">
                  <c:v>-8.9999999999605507E-2</c:v>
                </c:pt>
                <c:pt idx="55">
                  <c:v>-8.9999999999605507E-2</c:v>
                </c:pt>
                <c:pt idx="56">
                  <c:v>-8.9999999999605507E-2</c:v>
                </c:pt>
                <c:pt idx="57">
                  <c:v>-8.9999999999605507E-2</c:v>
                </c:pt>
                <c:pt idx="58">
                  <c:v>-8.9999999999605507E-2</c:v>
                </c:pt>
                <c:pt idx="59">
                  <c:v>-8.9999999999605507E-2</c:v>
                </c:pt>
                <c:pt idx="60">
                  <c:v>-8.9999999999605507E-2</c:v>
                </c:pt>
                <c:pt idx="61">
                  <c:v>-8.9999999999605507E-2</c:v>
                </c:pt>
                <c:pt idx="62">
                  <c:v>-8.9999999999605507E-2</c:v>
                </c:pt>
              </c:numCache>
            </c:numRef>
          </c:val>
          <c:extLst>
            <c:ext xmlns:c16="http://schemas.microsoft.com/office/drawing/2014/chart" uri="{C3380CC4-5D6E-409C-BE32-E72D297353CC}">
              <c16:uniqueId val="{00000003-BDB7-406C-9561-1D7B765CA671}"/>
            </c:ext>
          </c:extLst>
        </c:ser>
        <c:ser>
          <c:idx val="4"/>
          <c:order val="4"/>
          <c:tx>
            <c:strRef>
              <c:f>Summary!$A$55</c:f>
              <c:strCache>
                <c:ptCount val="1"/>
                <c:pt idx="0">
                  <c:v>Certified</c:v>
                </c:pt>
              </c:strCache>
            </c:strRef>
          </c:tx>
          <c:spPr>
            <a:solidFill>
              <a:schemeClr val="accent5"/>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Summary!$D$55:$BN$55</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171.6</c:v>
                </c:pt>
                <c:pt idx="30">
                  <c:v>211.6</c:v>
                </c:pt>
                <c:pt idx="31">
                  <c:v>525.6</c:v>
                </c:pt>
                <c:pt idx="32">
                  <c:v>525.6</c:v>
                </c:pt>
                <c:pt idx="33">
                  <c:v>525.6</c:v>
                </c:pt>
                <c:pt idx="34">
                  <c:v>525.6</c:v>
                </c:pt>
                <c:pt idx="35">
                  <c:v>667.6</c:v>
                </c:pt>
                <c:pt idx="36">
                  <c:v>667.6</c:v>
                </c:pt>
                <c:pt idx="37">
                  <c:v>667.6</c:v>
                </c:pt>
                <c:pt idx="38">
                  <c:v>691.6</c:v>
                </c:pt>
                <c:pt idx="39">
                  <c:v>1345.6</c:v>
                </c:pt>
                <c:pt idx="40">
                  <c:v>1373.6029999999998</c:v>
                </c:pt>
                <c:pt idx="41">
                  <c:v>1532.5029999999999</c:v>
                </c:pt>
                <c:pt idx="42">
                  <c:v>1532.5029999999999</c:v>
                </c:pt>
                <c:pt idx="43">
                  <c:v>1532.5029999999999</c:v>
                </c:pt>
                <c:pt idx="44">
                  <c:v>1532.5029999999999</c:v>
                </c:pt>
                <c:pt idx="45">
                  <c:v>1566.5029999999999</c:v>
                </c:pt>
                <c:pt idx="46">
                  <c:v>1566.5029999999999</c:v>
                </c:pt>
                <c:pt idx="47">
                  <c:v>1566.5029999999999</c:v>
                </c:pt>
                <c:pt idx="48">
                  <c:v>1745.6030000000001</c:v>
                </c:pt>
                <c:pt idx="49">
                  <c:v>1745.6030000000001</c:v>
                </c:pt>
                <c:pt idx="50">
                  <c:v>2072.9029999999998</c:v>
                </c:pt>
                <c:pt idx="51">
                  <c:v>2072.9029999999998</c:v>
                </c:pt>
                <c:pt idx="52">
                  <c:v>2072.9029999999998</c:v>
                </c:pt>
                <c:pt idx="53">
                  <c:v>2072.9029999999998</c:v>
                </c:pt>
                <c:pt idx="54">
                  <c:v>2072.9029999999998</c:v>
                </c:pt>
                <c:pt idx="55">
                  <c:v>2072.9029999999998</c:v>
                </c:pt>
                <c:pt idx="56">
                  <c:v>2072.9029999999998</c:v>
                </c:pt>
                <c:pt idx="57">
                  <c:v>2072.9029999999998</c:v>
                </c:pt>
                <c:pt idx="58">
                  <c:v>2072.9029999999998</c:v>
                </c:pt>
                <c:pt idx="59">
                  <c:v>2072.9029999999998</c:v>
                </c:pt>
                <c:pt idx="60">
                  <c:v>2072.9029999999998</c:v>
                </c:pt>
                <c:pt idx="61">
                  <c:v>2072.9029999999998</c:v>
                </c:pt>
                <c:pt idx="62">
                  <c:v>2072.9029999999998</c:v>
                </c:pt>
              </c:numCache>
            </c:numRef>
          </c:val>
          <c:extLst>
            <c:ext xmlns:c16="http://schemas.microsoft.com/office/drawing/2014/chart" uri="{C3380CC4-5D6E-409C-BE32-E72D297353CC}">
              <c16:uniqueId val="{00000004-BDB7-406C-9561-1D7B765CA671}"/>
            </c:ext>
          </c:extLst>
        </c:ser>
        <c:dLbls>
          <c:showLegendKey val="0"/>
          <c:showVal val="0"/>
          <c:showCatName val="0"/>
          <c:showSerName val="0"/>
          <c:showPercent val="0"/>
          <c:showBubbleSize val="0"/>
        </c:dLbls>
        <c:axId val="408736776"/>
        <c:axId val="408736448"/>
      </c:areaChart>
      <c:catAx>
        <c:axId val="408736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448"/>
        <c:crosses val="autoZero"/>
        <c:auto val="1"/>
        <c:lblAlgn val="ctr"/>
        <c:lblOffset val="100"/>
        <c:noMultiLvlLbl val="0"/>
      </c:catAx>
      <c:valAx>
        <c:axId val="408736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77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Summary!$A$45</c:f>
              <c:strCache>
                <c:ptCount val="1"/>
                <c:pt idx="0">
                  <c:v>Reveg</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Summary!$B$45:$BN$45</c:f>
              <c:numCache>
                <c:formatCode>General</c:formatCode>
                <c:ptCount val="65"/>
                <c:pt idx="2" formatCode="0.0">
                  <c:v>0</c:v>
                </c:pt>
                <c:pt idx="3" formatCode="0.0">
                  <c:v>0</c:v>
                </c:pt>
                <c:pt idx="4" formatCode="0.0">
                  <c:v>0</c:v>
                </c:pt>
                <c:pt idx="5" formatCode="0.0">
                  <c:v>0</c:v>
                </c:pt>
                <c:pt idx="6" formatCode="0.0">
                  <c:v>0</c:v>
                </c:pt>
                <c:pt idx="7" formatCode="0.0">
                  <c:v>0</c:v>
                </c:pt>
                <c:pt idx="8" formatCode="0.0">
                  <c:v>0</c:v>
                </c:pt>
                <c:pt idx="9" formatCode="0.0">
                  <c:v>33.869</c:v>
                </c:pt>
                <c:pt idx="10" formatCode="0.0">
                  <c:v>78.697000000000003</c:v>
                </c:pt>
                <c:pt idx="11" formatCode="0.0">
                  <c:v>129.40700000000001</c:v>
                </c:pt>
                <c:pt idx="12" formatCode="0.0">
                  <c:v>241.43900000000002</c:v>
                </c:pt>
                <c:pt idx="13" formatCode="0.0">
                  <c:v>433.27699999999999</c:v>
                </c:pt>
                <c:pt idx="14" formatCode="0.0">
                  <c:v>509.03999999999996</c:v>
                </c:pt>
                <c:pt idx="15" formatCode="0.0">
                  <c:v>543.51400000000001</c:v>
                </c:pt>
                <c:pt idx="16" formatCode="0.0">
                  <c:v>601.03399999999999</c:v>
                </c:pt>
                <c:pt idx="17" formatCode="0.0">
                  <c:v>657.9899999999999</c:v>
                </c:pt>
                <c:pt idx="18" formatCode="0.0">
                  <c:v>680.76199999999994</c:v>
                </c:pt>
                <c:pt idx="19" formatCode="0.0">
                  <c:v>701.06399999999985</c:v>
                </c:pt>
                <c:pt idx="20" formatCode="0.0">
                  <c:v>701.06399999999985</c:v>
                </c:pt>
                <c:pt idx="21" formatCode="0.0">
                  <c:v>725.3119999999999</c:v>
                </c:pt>
                <c:pt idx="22" formatCode="0.0">
                  <c:v>759.93</c:v>
                </c:pt>
                <c:pt idx="23" formatCode="0.0">
                  <c:v>825.22</c:v>
                </c:pt>
                <c:pt idx="24" formatCode="0.0">
                  <c:v>860.49299999999994</c:v>
                </c:pt>
                <c:pt idx="25" formatCode="0.0">
                  <c:v>860.49299999999994</c:v>
                </c:pt>
                <c:pt idx="26" formatCode="0.0">
                  <c:v>860.49299999999994</c:v>
                </c:pt>
                <c:pt idx="27" formatCode="0.0">
                  <c:v>895.03099999999995</c:v>
                </c:pt>
                <c:pt idx="28" formatCode="0.0">
                  <c:v>895.03099999999995</c:v>
                </c:pt>
                <c:pt idx="29" formatCode="0.0">
                  <c:v>895.03099999999995</c:v>
                </c:pt>
                <c:pt idx="30" formatCode="0.0">
                  <c:v>1204.8519999999999</c:v>
                </c:pt>
                <c:pt idx="31" formatCode="0.0">
                  <c:v>1421.7450000000001</c:v>
                </c:pt>
                <c:pt idx="32" formatCode="0.0">
                  <c:v>1574.6130000000003</c:v>
                </c:pt>
                <c:pt idx="33" formatCode="0.0">
                  <c:v>1901.2130000000002</c:v>
                </c:pt>
                <c:pt idx="34" formatCode="0.0">
                  <c:v>1901.2130000000002</c:v>
                </c:pt>
                <c:pt idx="35" formatCode="0.0">
                  <c:v>1901.2130000000002</c:v>
                </c:pt>
                <c:pt idx="36" formatCode="0.0">
                  <c:v>1901.2130000000002</c:v>
                </c:pt>
                <c:pt idx="37" formatCode="0.0">
                  <c:v>1901.2130000000002</c:v>
                </c:pt>
                <c:pt idx="38" formatCode="0.0">
                  <c:v>1901.2130000000002</c:v>
                </c:pt>
                <c:pt idx="39" formatCode="0.0">
                  <c:v>1901.2130000000002</c:v>
                </c:pt>
                <c:pt idx="40" formatCode="0.0">
                  <c:v>1901.2130000000002</c:v>
                </c:pt>
                <c:pt idx="41" formatCode="0.0">
                  <c:v>1901.2130000000002</c:v>
                </c:pt>
                <c:pt idx="42" formatCode="0.0">
                  <c:v>1901.2130000000002</c:v>
                </c:pt>
                <c:pt idx="43" formatCode="0.0">
                  <c:v>1901.2130000000002</c:v>
                </c:pt>
                <c:pt idx="44" formatCode="0.0">
                  <c:v>1901.2130000000002</c:v>
                </c:pt>
                <c:pt idx="45" formatCode="0.0">
                  <c:v>1901.2130000000002</c:v>
                </c:pt>
                <c:pt idx="46" formatCode="0.0">
                  <c:v>1901.2130000000002</c:v>
                </c:pt>
                <c:pt idx="47" formatCode="0.0">
                  <c:v>1901.2130000000002</c:v>
                </c:pt>
                <c:pt idx="48" formatCode="0.0">
                  <c:v>1901.2130000000002</c:v>
                </c:pt>
                <c:pt idx="49" formatCode="0.0">
                  <c:v>1901.2130000000002</c:v>
                </c:pt>
                <c:pt idx="50" formatCode="0.0">
                  <c:v>1901.2130000000002</c:v>
                </c:pt>
                <c:pt idx="51" formatCode="0.0">
                  <c:v>1901.2130000000002</c:v>
                </c:pt>
                <c:pt idx="52" formatCode="0.0">
                  <c:v>1901.2130000000002</c:v>
                </c:pt>
                <c:pt idx="53" formatCode="0.0">
                  <c:v>1901.2130000000002</c:v>
                </c:pt>
                <c:pt idx="54" formatCode="0.0">
                  <c:v>1901.2130000000002</c:v>
                </c:pt>
                <c:pt idx="55" formatCode="0.0">
                  <c:v>1901.2130000000002</c:v>
                </c:pt>
                <c:pt idx="56" formatCode="0.0">
                  <c:v>1901.2130000000002</c:v>
                </c:pt>
                <c:pt idx="57" formatCode="0.0">
                  <c:v>1901.2130000000002</c:v>
                </c:pt>
                <c:pt idx="58" formatCode="0.0">
                  <c:v>1901.2130000000002</c:v>
                </c:pt>
                <c:pt idx="59" formatCode="0.0">
                  <c:v>1901.2130000000002</c:v>
                </c:pt>
                <c:pt idx="60" formatCode="0.0">
                  <c:v>1901.2130000000002</c:v>
                </c:pt>
                <c:pt idx="61" formatCode="0.0">
                  <c:v>1901.2130000000002</c:v>
                </c:pt>
                <c:pt idx="62" formatCode="0.0">
                  <c:v>1901.2130000000002</c:v>
                </c:pt>
                <c:pt idx="63" formatCode="0.0">
                  <c:v>1901.2130000000002</c:v>
                </c:pt>
                <c:pt idx="64" formatCode="0.0">
                  <c:v>1901.2130000000002</c:v>
                </c:pt>
              </c:numCache>
            </c:numRef>
          </c:xVal>
          <c:yVal>
            <c:numRef>
              <c:f>Summary!$B$41:$BN$41</c:f>
              <c:numCache>
                <c:formatCode>General</c:formatCode>
                <c:ptCount val="65"/>
                <c:pt idx="2" formatCode="0.0">
                  <c:v>0</c:v>
                </c:pt>
                <c:pt idx="3" formatCode="0.0">
                  <c:v>729.56120186411579</c:v>
                </c:pt>
                <c:pt idx="4" formatCode="0.0">
                  <c:v>903.65681792167447</c:v>
                </c:pt>
                <c:pt idx="5" formatCode="0.0">
                  <c:v>967.03631796255422</c:v>
                </c:pt>
                <c:pt idx="6" formatCode="0.0">
                  <c:v>1198.0823657100809</c:v>
                </c:pt>
                <c:pt idx="7" formatCode="0.0">
                  <c:v>1379.2096226800752</c:v>
                </c:pt>
                <c:pt idx="8" formatCode="0.0">
                  <c:v>1410.3011949145614</c:v>
                </c:pt>
                <c:pt idx="9" formatCode="0.0">
                  <c:v>1457.854619818494</c:v>
                </c:pt>
                <c:pt idx="10" formatCode="0.0">
                  <c:v>1490.5185450903443</c:v>
                </c:pt>
                <c:pt idx="11" formatCode="0.0">
                  <c:v>1519.6900887090183</c:v>
                </c:pt>
                <c:pt idx="12" formatCode="0.0">
                  <c:v>1544.8985213801</c:v>
                </c:pt>
                <c:pt idx="13" formatCode="0.0">
                  <c:v>1569.8715894039738</c:v>
                </c:pt>
                <c:pt idx="14" formatCode="0.0">
                  <c:v>1743.7348311667079</c:v>
                </c:pt>
                <c:pt idx="15" formatCode="0.0">
                  <c:v>1946.8652644918652</c:v>
                </c:pt>
                <c:pt idx="16" formatCode="0.0">
                  <c:v>1965.7784253127302</c:v>
                </c:pt>
                <c:pt idx="17" formatCode="0.0">
                  <c:v>1995.4001892731585</c:v>
                </c:pt>
                <c:pt idx="18" formatCode="0.0">
                  <c:v>2023.3470554329165</c:v>
                </c:pt>
                <c:pt idx="19" formatCode="0.0">
                  <c:v>2058.4368968195572</c:v>
                </c:pt>
                <c:pt idx="20" formatCode="0.0">
                  <c:v>2071.1944419916608</c:v>
                </c:pt>
                <c:pt idx="21" formatCode="0.0">
                  <c:v>2072.8000000000002</c:v>
                </c:pt>
                <c:pt idx="22" formatCode="0.0">
                  <c:v>2072.8000000000002</c:v>
                </c:pt>
                <c:pt idx="23" formatCode="0.0">
                  <c:v>2072.8000000000002</c:v>
                </c:pt>
                <c:pt idx="24" formatCode="0.0">
                  <c:v>2072.8000000000002</c:v>
                </c:pt>
                <c:pt idx="25" formatCode="0.0">
                  <c:v>2072.8000000000002</c:v>
                </c:pt>
                <c:pt idx="26" formatCode="0.0">
                  <c:v>2072.8000000000002</c:v>
                </c:pt>
                <c:pt idx="27" formatCode="0.0">
                  <c:v>2072.8000000000002</c:v>
                </c:pt>
                <c:pt idx="28" formatCode="0.0">
                  <c:v>2072.8000000000002</c:v>
                </c:pt>
                <c:pt idx="29" formatCode="0.0">
                  <c:v>2072.8000000000002</c:v>
                </c:pt>
                <c:pt idx="30" formatCode="0.0">
                  <c:v>2072.8000000000002</c:v>
                </c:pt>
                <c:pt idx="31" formatCode="0.0">
                  <c:v>2072.8000000000002</c:v>
                </c:pt>
                <c:pt idx="32" formatCode="0.0">
                  <c:v>2072.8000000000002</c:v>
                </c:pt>
                <c:pt idx="33" formatCode="0.0">
                  <c:v>2072.8000000000002</c:v>
                </c:pt>
                <c:pt idx="34" formatCode="0.0">
                  <c:v>2072.8000000000002</c:v>
                </c:pt>
                <c:pt idx="35" formatCode="0.0">
                  <c:v>2072.8000000000002</c:v>
                </c:pt>
                <c:pt idx="36" formatCode="0.0">
                  <c:v>2072.8000000000002</c:v>
                </c:pt>
                <c:pt idx="37" formatCode="0.0">
                  <c:v>2072.8000000000002</c:v>
                </c:pt>
                <c:pt idx="38" formatCode="0.0">
                  <c:v>2072.8000000000002</c:v>
                </c:pt>
                <c:pt idx="39" formatCode="0.0">
                  <c:v>2072.8000000000002</c:v>
                </c:pt>
                <c:pt idx="40" formatCode="0.0">
                  <c:v>2072.8000000000002</c:v>
                </c:pt>
                <c:pt idx="41" formatCode="0.0">
                  <c:v>2072.8000000000002</c:v>
                </c:pt>
                <c:pt idx="42" formatCode="0.0">
                  <c:v>2072.8000000000002</c:v>
                </c:pt>
                <c:pt idx="43" formatCode="0.0">
                  <c:v>2072.8000000000002</c:v>
                </c:pt>
                <c:pt idx="44" formatCode="0.0">
                  <c:v>2072.8000000000002</c:v>
                </c:pt>
                <c:pt idx="45" formatCode="0.0">
                  <c:v>2072.8000000000002</c:v>
                </c:pt>
                <c:pt idx="46" formatCode="0.0">
                  <c:v>2072.8000000000002</c:v>
                </c:pt>
                <c:pt idx="47" formatCode="0.0">
                  <c:v>2072.8000000000002</c:v>
                </c:pt>
                <c:pt idx="48" formatCode="0.0">
                  <c:v>2072.8000000000002</c:v>
                </c:pt>
                <c:pt idx="49" formatCode="0.0">
                  <c:v>2072.8000000000002</c:v>
                </c:pt>
                <c:pt idx="50" formatCode="0.0">
                  <c:v>2072.8000000000002</c:v>
                </c:pt>
                <c:pt idx="51" formatCode="0.0">
                  <c:v>2072.8000000000002</c:v>
                </c:pt>
                <c:pt idx="52" formatCode="0.0">
                  <c:v>2072.8000000000002</c:v>
                </c:pt>
                <c:pt idx="53" formatCode="0.0">
                  <c:v>2072.8000000000002</c:v>
                </c:pt>
                <c:pt idx="54" formatCode="0.0">
                  <c:v>2072.8000000000002</c:v>
                </c:pt>
                <c:pt idx="55" formatCode="0.0">
                  <c:v>2072.8000000000002</c:v>
                </c:pt>
                <c:pt idx="56" formatCode="0.0">
                  <c:v>2072.8000000000002</c:v>
                </c:pt>
                <c:pt idx="57" formatCode="0.0">
                  <c:v>2072.8000000000002</c:v>
                </c:pt>
                <c:pt idx="58" formatCode="0.0">
                  <c:v>2072.8000000000002</c:v>
                </c:pt>
                <c:pt idx="59" formatCode="0.0">
                  <c:v>2072.8000000000002</c:v>
                </c:pt>
                <c:pt idx="60" formatCode="0.0">
                  <c:v>2072.8000000000002</c:v>
                </c:pt>
                <c:pt idx="61" formatCode="0.0">
                  <c:v>2072.8000000000002</c:v>
                </c:pt>
                <c:pt idx="62" formatCode="0.0">
                  <c:v>2072.8000000000002</c:v>
                </c:pt>
                <c:pt idx="63" formatCode="0.0">
                  <c:v>2072.8000000000002</c:v>
                </c:pt>
                <c:pt idx="64" formatCode="0.0">
                  <c:v>2072.8000000000002</c:v>
                </c:pt>
              </c:numCache>
            </c:numRef>
          </c:yVal>
          <c:smooth val="1"/>
          <c:extLst>
            <c:ext xmlns:c16="http://schemas.microsoft.com/office/drawing/2014/chart" uri="{C3380CC4-5D6E-409C-BE32-E72D297353CC}">
              <c16:uniqueId val="{00000000-A611-4B8A-AC89-C0088EA28834}"/>
            </c:ext>
          </c:extLst>
        </c:ser>
        <c:dLbls>
          <c:showLegendKey val="0"/>
          <c:showVal val="0"/>
          <c:showCatName val="0"/>
          <c:showSerName val="0"/>
          <c:showPercent val="0"/>
          <c:showBubbleSize val="0"/>
        </c:dLbls>
        <c:axId val="635689992"/>
        <c:axId val="635688024"/>
      </c:scatterChart>
      <c:valAx>
        <c:axId val="6356899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688024"/>
        <c:crosses val="autoZero"/>
        <c:crossBetween val="midCat"/>
      </c:valAx>
      <c:valAx>
        <c:axId val="6356880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6899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Summary!$A$59</c:f>
              <c:strCache>
                <c:ptCount val="1"/>
                <c:pt idx="0">
                  <c:v>Regraded</c:v>
                </c:pt>
              </c:strCache>
            </c:strRef>
          </c:tx>
          <c:spPr>
            <a:solidFill>
              <a:schemeClr val="accent1"/>
            </a:solidFill>
            <a:ln w="25400">
              <a:noFill/>
            </a:ln>
            <a:effectLst/>
          </c:spPr>
          <c:invertIfNegative val="0"/>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Summary!$D$59:$BN$59</c:f>
              <c:numCache>
                <c:formatCode>0.0</c:formatCode>
                <c:ptCount val="63"/>
                <c:pt idx="0">
                  <c:v>0</c:v>
                </c:pt>
                <c:pt idx="1">
                  <c:v>0</c:v>
                </c:pt>
                <c:pt idx="2">
                  <c:v>0</c:v>
                </c:pt>
                <c:pt idx="3">
                  <c:v>0</c:v>
                </c:pt>
                <c:pt idx="4">
                  <c:v>0</c:v>
                </c:pt>
                <c:pt idx="5">
                  <c:v>0</c:v>
                </c:pt>
                <c:pt idx="6">
                  <c:v>0</c:v>
                </c:pt>
                <c:pt idx="7">
                  <c:v>33.869</c:v>
                </c:pt>
                <c:pt idx="8">
                  <c:v>44.828000000000003</c:v>
                </c:pt>
                <c:pt idx="9">
                  <c:v>50.710000000000008</c:v>
                </c:pt>
                <c:pt idx="10">
                  <c:v>112.03200000000001</c:v>
                </c:pt>
                <c:pt idx="11">
                  <c:v>191.83799999999997</c:v>
                </c:pt>
                <c:pt idx="12">
                  <c:v>75.762999999999977</c:v>
                </c:pt>
                <c:pt idx="13">
                  <c:v>34.474000000000046</c:v>
                </c:pt>
                <c:pt idx="14">
                  <c:v>57.519999999999982</c:v>
                </c:pt>
                <c:pt idx="15">
                  <c:v>56.955999999999904</c:v>
                </c:pt>
                <c:pt idx="16">
                  <c:v>22.772000000000048</c:v>
                </c:pt>
                <c:pt idx="17">
                  <c:v>20.301999999999907</c:v>
                </c:pt>
                <c:pt idx="18">
                  <c:v>0</c:v>
                </c:pt>
                <c:pt idx="19">
                  <c:v>24.248000000000047</c:v>
                </c:pt>
                <c:pt idx="20">
                  <c:v>34.618000000000052</c:v>
                </c:pt>
                <c:pt idx="21">
                  <c:v>65.290000000000077</c:v>
                </c:pt>
                <c:pt idx="22">
                  <c:v>35.272999999999911</c:v>
                </c:pt>
                <c:pt idx="23">
                  <c:v>0</c:v>
                </c:pt>
                <c:pt idx="24">
                  <c:v>0</c:v>
                </c:pt>
                <c:pt idx="25">
                  <c:v>34.538000000000011</c:v>
                </c:pt>
                <c:pt idx="26">
                  <c:v>0</c:v>
                </c:pt>
                <c:pt idx="27">
                  <c:v>0</c:v>
                </c:pt>
                <c:pt idx="28">
                  <c:v>309.82099999999991</c:v>
                </c:pt>
                <c:pt idx="29">
                  <c:v>216.89300000000026</c:v>
                </c:pt>
                <c:pt idx="30">
                  <c:v>152.86799999999994</c:v>
                </c:pt>
                <c:pt idx="31">
                  <c:v>326.60000000000014</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0-BDB7-406C-9561-1D7B765CA671}"/>
            </c:ext>
          </c:extLst>
        </c:ser>
        <c:ser>
          <c:idx val="1"/>
          <c:order val="1"/>
          <c:tx>
            <c:strRef>
              <c:f>Summary!$A$60</c:f>
              <c:strCache>
                <c:ptCount val="1"/>
                <c:pt idx="0">
                  <c:v>Topsoiled</c:v>
                </c:pt>
              </c:strCache>
            </c:strRef>
          </c:tx>
          <c:spPr>
            <a:solidFill>
              <a:schemeClr val="accent2"/>
            </a:solidFill>
            <a:ln w="25400">
              <a:noFill/>
            </a:ln>
            <a:effectLst/>
          </c:spPr>
          <c:invertIfNegative val="0"/>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Summary!$D$60:$BN$60</c:f>
              <c:numCache>
                <c:formatCode>0.0</c:formatCode>
                <c:ptCount val="63"/>
                <c:pt idx="0">
                  <c:v>0</c:v>
                </c:pt>
                <c:pt idx="1">
                  <c:v>0</c:v>
                </c:pt>
                <c:pt idx="2">
                  <c:v>0</c:v>
                </c:pt>
                <c:pt idx="3">
                  <c:v>0</c:v>
                </c:pt>
                <c:pt idx="4">
                  <c:v>0</c:v>
                </c:pt>
                <c:pt idx="5">
                  <c:v>0</c:v>
                </c:pt>
                <c:pt idx="6">
                  <c:v>0</c:v>
                </c:pt>
                <c:pt idx="7">
                  <c:v>33.869</c:v>
                </c:pt>
                <c:pt idx="8">
                  <c:v>44.828000000000003</c:v>
                </c:pt>
                <c:pt idx="9">
                  <c:v>50.710000000000008</c:v>
                </c:pt>
                <c:pt idx="10">
                  <c:v>112.03200000000001</c:v>
                </c:pt>
                <c:pt idx="11">
                  <c:v>191.83799999999997</c:v>
                </c:pt>
                <c:pt idx="12">
                  <c:v>75.762999999999977</c:v>
                </c:pt>
                <c:pt idx="13">
                  <c:v>34.474000000000046</c:v>
                </c:pt>
                <c:pt idx="14">
                  <c:v>57.519999999999982</c:v>
                </c:pt>
                <c:pt idx="15">
                  <c:v>56.955999999999904</c:v>
                </c:pt>
                <c:pt idx="16">
                  <c:v>22.772000000000048</c:v>
                </c:pt>
                <c:pt idx="17">
                  <c:v>20.301999999999907</c:v>
                </c:pt>
                <c:pt idx="18">
                  <c:v>0</c:v>
                </c:pt>
                <c:pt idx="19">
                  <c:v>24.248000000000047</c:v>
                </c:pt>
                <c:pt idx="20">
                  <c:v>34.618000000000052</c:v>
                </c:pt>
                <c:pt idx="21">
                  <c:v>65.290000000000077</c:v>
                </c:pt>
                <c:pt idx="22">
                  <c:v>35.272999999999911</c:v>
                </c:pt>
                <c:pt idx="23">
                  <c:v>0</c:v>
                </c:pt>
                <c:pt idx="24">
                  <c:v>0</c:v>
                </c:pt>
                <c:pt idx="25">
                  <c:v>34.538000000000011</c:v>
                </c:pt>
                <c:pt idx="26">
                  <c:v>0</c:v>
                </c:pt>
                <c:pt idx="27">
                  <c:v>0</c:v>
                </c:pt>
                <c:pt idx="28">
                  <c:v>309.82099999999991</c:v>
                </c:pt>
                <c:pt idx="29">
                  <c:v>216.89300000000026</c:v>
                </c:pt>
                <c:pt idx="30">
                  <c:v>152.86799999999994</c:v>
                </c:pt>
                <c:pt idx="31">
                  <c:v>326.60000000000014</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1-BDB7-406C-9561-1D7B765CA671}"/>
            </c:ext>
          </c:extLst>
        </c:ser>
        <c:ser>
          <c:idx val="2"/>
          <c:order val="2"/>
          <c:tx>
            <c:strRef>
              <c:f>Summary!$A$61</c:f>
              <c:strCache>
                <c:ptCount val="1"/>
                <c:pt idx="0">
                  <c:v>Reveg</c:v>
                </c:pt>
              </c:strCache>
            </c:strRef>
          </c:tx>
          <c:spPr>
            <a:solidFill>
              <a:schemeClr val="accent3"/>
            </a:solidFill>
            <a:ln w="25400">
              <a:noFill/>
            </a:ln>
            <a:effectLst/>
          </c:spPr>
          <c:invertIfNegative val="0"/>
          <c:trendline>
            <c:spPr>
              <a:ln w="19050" cap="rnd">
                <a:solidFill>
                  <a:schemeClr val="accent3"/>
                </a:solidFill>
                <a:prstDash val="sysDot"/>
              </a:ln>
              <a:effectLst/>
            </c:spPr>
            <c:trendlineType val="movingAvg"/>
            <c:period val="5"/>
            <c:dispRSqr val="0"/>
            <c:dispEq val="0"/>
          </c:trendline>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Summary!$D$61:$BN$61</c:f>
              <c:numCache>
                <c:formatCode>0.0</c:formatCode>
                <c:ptCount val="63"/>
                <c:pt idx="0">
                  <c:v>0</c:v>
                </c:pt>
                <c:pt idx="1">
                  <c:v>0</c:v>
                </c:pt>
                <c:pt idx="2">
                  <c:v>0</c:v>
                </c:pt>
                <c:pt idx="3">
                  <c:v>0</c:v>
                </c:pt>
                <c:pt idx="4">
                  <c:v>0</c:v>
                </c:pt>
                <c:pt idx="5">
                  <c:v>0</c:v>
                </c:pt>
                <c:pt idx="6">
                  <c:v>0</c:v>
                </c:pt>
                <c:pt idx="7">
                  <c:v>33.869</c:v>
                </c:pt>
                <c:pt idx="8">
                  <c:v>44.828000000000003</c:v>
                </c:pt>
                <c:pt idx="9">
                  <c:v>50.710000000000008</c:v>
                </c:pt>
                <c:pt idx="10">
                  <c:v>112.03200000000001</c:v>
                </c:pt>
                <c:pt idx="11">
                  <c:v>191.83799999999997</c:v>
                </c:pt>
                <c:pt idx="12">
                  <c:v>75.762999999999977</c:v>
                </c:pt>
                <c:pt idx="13">
                  <c:v>34.474000000000046</c:v>
                </c:pt>
                <c:pt idx="14">
                  <c:v>57.519999999999982</c:v>
                </c:pt>
                <c:pt idx="15">
                  <c:v>56.955999999999904</c:v>
                </c:pt>
                <c:pt idx="16">
                  <c:v>22.772000000000048</c:v>
                </c:pt>
                <c:pt idx="17">
                  <c:v>20.301999999999907</c:v>
                </c:pt>
                <c:pt idx="18">
                  <c:v>0</c:v>
                </c:pt>
                <c:pt idx="19">
                  <c:v>24.248000000000047</c:v>
                </c:pt>
                <c:pt idx="20">
                  <c:v>34.618000000000052</c:v>
                </c:pt>
                <c:pt idx="21">
                  <c:v>65.290000000000077</c:v>
                </c:pt>
                <c:pt idx="22">
                  <c:v>35.272999999999911</c:v>
                </c:pt>
                <c:pt idx="23">
                  <c:v>0</c:v>
                </c:pt>
                <c:pt idx="24">
                  <c:v>0</c:v>
                </c:pt>
                <c:pt idx="25">
                  <c:v>34.538000000000011</c:v>
                </c:pt>
                <c:pt idx="26">
                  <c:v>0</c:v>
                </c:pt>
                <c:pt idx="27">
                  <c:v>0</c:v>
                </c:pt>
                <c:pt idx="28">
                  <c:v>309.82099999999991</c:v>
                </c:pt>
                <c:pt idx="29">
                  <c:v>216.89300000000026</c:v>
                </c:pt>
                <c:pt idx="30">
                  <c:v>152.86800000000017</c:v>
                </c:pt>
                <c:pt idx="31">
                  <c:v>326.59999999999991</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2-BDB7-406C-9561-1D7B765CA671}"/>
            </c:ext>
          </c:extLst>
        </c:ser>
        <c:ser>
          <c:idx val="3"/>
          <c:order val="3"/>
          <c:tx>
            <c:strRef>
              <c:f>Summary!$A$62</c:f>
              <c:strCache>
                <c:ptCount val="1"/>
                <c:pt idx="0">
                  <c:v>Certified</c:v>
                </c:pt>
              </c:strCache>
            </c:strRef>
          </c:tx>
          <c:spPr>
            <a:solidFill>
              <a:schemeClr val="accent4"/>
            </a:solidFill>
            <a:ln w="25400">
              <a:noFill/>
            </a:ln>
            <a:effectLst/>
          </c:spPr>
          <c:invertIfNegative val="0"/>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Summary!$D$62:$BN$62</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171.6</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3-BDB7-406C-9561-1D7B765CA671}"/>
            </c:ext>
          </c:extLst>
        </c:ser>
        <c:dLbls>
          <c:showLegendKey val="0"/>
          <c:showVal val="0"/>
          <c:showCatName val="0"/>
          <c:showSerName val="0"/>
          <c:showPercent val="0"/>
          <c:showBubbleSize val="0"/>
        </c:dLbls>
        <c:gapWidth val="150"/>
        <c:axId val="408736776"/>
        <c:axId val="408736448"/>
      </c:barChart>
      <c:catAx>
        <c:axId val="408736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448"/>
        <c:crosses val="autoZero"/>
        <c:auto val="1"/>
        <c:lblAlgn val="ctr"/>
        <c:lblOffset val="100"/>
        <c:noMultiLvlLbl val="0"/>
      </c:catAx>
      <c:valAx>
        <c:axId val="408736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Summary!$A$52</c:f>
              <c:strCache>
                <c:ptCount val="1"/>
                <c:pt idx="0">
                  <c:v>Regraded</c:v>
                </c:pt>
              </c:strCache>
            </c:strRef>
          </c:tx>
          <c:spPr>
            <a:solidFill>
              <a:schemeClr val="accent2"/>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Summary!$D$52:$BN$52</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1-BDB7-406C-9561-1D7B765CA671}"/>
            </c:ext>
          </c:extLst>
        </c:ser>
        <c:ser>
          <c:idx val="2"/>
          <c:order val="1"/>
          <c:tx>
            <c:strRef>
              <c:f>Summary!$A$53</c:f>
              <c:strCache>
                <c:ptCount val="1"/>
                <c:pt idx="0">
                  <c:v>Topsoiled</c:v>
                </c:pt>
              </c:strCache>
            </c:strRef>
          </c:tx>
          <c:spPr>
            <a:solidFill>
              <a:schemeClr val="accent3"/>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Summary!$D$53:$BN$53</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2-BDB7-406C-9561-1D7B765CA671}"/>
            </c:ext>
          </c:extLst>
        </c:ser>
        <c:ser>
          <c:idx val="3"/>
          <c:order val="2"/>
          <c:tx>
            <c:strRef>
              <c:f>Summary!$A$54</c:f>
              <c:strCache>
                <c:ptCount val="1"/>
                <c:pt idx="0">
                  <c:v>Reveg</c:v>
                </c:pt>
              </c:strCache>
            </c:strRef>
          </c:tx>
          <c:spPr>
            <a:solidFill>
              <a:schemeClr val="accent4"/>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Summary!$D$54:$BN$54</c:f>
              <c:numCache>
                <c:formatCode>0.0</c:formatCode>
                <c:ptCount val="63"/>
                <c:pt idx="0">
                  <c:v>0</c:v>
                </c:pt>
                <c:pt idx="1">
                  <c:v>0</c:v>
                </c:pt>
                <c:pt idx="2">
                  <c:v>0</c:v>
                </c:pt>
                <c:pt idx="3">
                  <c:v>0</c:v>
                </c:pt>
                <c:pt idx="4">
                  <c:v>0</c:v>
                </c:pt>
                <c:pt idx="5">
                  <c:v>0</c:v>
                </c:pt>
                <c:pt idx="6">
                  <c:v>0</c:v>
                </c:pt>
                <c:pt idx="7">
                  <c:v>33.869</c:v>
                </c:pt>
                <c:pt idx="8">
                  <c:v>78.697000000000003</c:v>
                </c:pt>
                <c:pt idx="9">
                  <c:v>129.40700000000001</c:v>
                </c:pt>
                <c:pt idx="10">
                  <c:v>241.43900000000002</c:v>
                </c:pt>
                <c:pt idx="11">
                  <c:v>433.27699999999999</c:v>
                </c:pt>
                <c:pt idx="12">
                  <c:v>509.03999999999996</c:v>
                </c:pt>
                <c:pt idx="13">
                  <c:v>543.51400000000001</c:v>
                </c:pt>
                <c:pt idx="14">
                  <c:v>601.03399999999999</c:v>
                </c:pt>
                <c:pt idx="15">
                  <c:v>657.9899999999999</c:v>
                </c:pt>
                <c:pt idx="16">
                  <c:v>680.76199999999994</c:v>
                </c:pt>
                <c:pt idx="17">
                  <c:v>701.06399999999985</c:v>
                </c:pt>
                <c:pt idx="18">
                  <c:v>701.06399999999985</c:v>
                </c:pt>
                <c:pt idx="19">
                  <c:v>725.3119999999999</c:v>
                </c:pt>
                <c:pt idx="20">
                  <c:v>759.93</c:v>
                </c:pt>
                <c:pt idx="21">
                  <c:v>825.22</c:v>
                </c:pt>
                <c:pt idx="22">
                  <c:v>860.49299999999994</c:v>
                </c:pt>
                <c:pt idx="23">
                  <c:v>860.49299999999994</c:v>
                </c:pt>
                <c:pt idx="24">
                  <c:v>860.49299999999994</c:v>
                </c:pt>
                <c:pt idx="25">
                  <c:v>895.03099999999995</c:v>
                </c:pt>
                <c:pt idx="26">
                  <c:v>895.03099999999995</c:v>
                </c:pt>
                <c:pt idx="27">
                  <c:v>1066.6309999999999</c:v>
                </c:pt>
                <c:pt idx="28">
                  <c:v>1376.4519999999998</c:v>
                </c:pt>
                <c:pt idx="29">
                  <c:v>1421.7450000000001</c:v>
                </c:pt>
                <c:pt idx="30">
                  <c:v>1534.6130000000003</c:v>
                </c:pt>
                <c:pt idx="31">
                  <c:v>1547.2130000000002</c:v>
                </c:pt>
                <c:pt idx="32">
                  <c:v>1547.2130000000002</c:v>
                </c:pt>
                <c:pt idx="33">
                  <c:v>1547.2130000000002</c:v>
                </c:pt>
                <c:pt idx="34">
                  <c:v>1547.2130000000002</c:v>
                </c:pt>
                <c:pt idx="35">
                  <c:v>1405.2130000000002</c:v>
                </c:pt>
                <c:pt idx="36">
                  <c:v>1405.2130000000002</c:v>
                </c:pt>
                <c:pt idx="37">
                  <c:v>1405.2130000000002</c:v>
                </c:pt>
                <c:pt idx="38">
                  <c:v>1381.2130000000002</c:v>
                </c:pt>
                <c:pt idx="39">
                  <c:v>727.21300000000031</c:v>
                </c:pt>
                <c:pt idx="40">
                  <c:v>699.21000000000038</c:v>
                </c:pt>
                <c:pt idx="41">
                  <c:v>540.31000000000029</c:v>
                </c:pt>
                <c:pt idx="42">
                  <c:v>540.31000000000029</c:v>
                </c:pt>
                <c:pt idx="43">
                  <c:v>540.31000000000029</c:v>
                </c:pt>
                <c:pt idx="44">
                  <c:v>540.31000000000029</c:v>
                </c:pt>
                <c:pt idx="45">
                  <c:v>506.31000000000029</c:v>
                </c:pt>
                <c:pt idx="46">
                  <c:v>506.31000000000029</c:v>
                </c:pt>
                <c:pt idx="47">
                  <c:v>506.31000000000029</c:v>
                </c:pt>
                <c:pt idx="48">
                  <c:v>327.21000000000015</c:v>
                </c:pt>
                <c:pt idx="49">
                  <c:v>327.21000000000015</c:v>
                </c:pt>
                <c:pt idx="50">
                  <c:v>-8.9999999999605507E-2</c:v>
                </c:pt>
                <c:pt idx="51">
                  <c:v>-8.9999999999605507E-2</c:v>
                </c:pt>
                <c:pt idx="52">
                  <c:v>-8.9999999999605507E-2</c:v>
                </c:pt>
                <c:pt idx="53">
                  <c:v>-8.9999999999605507E-2</c:v>
                </c:pt>
                <c:pt idx="54">
                  <c:v>-8.9999999999605507E-2</c:v>
                </c:pt>
                <c:pt idx="55">
                  <c:v>-8.9999999999605507E-2</c:v>
                </c:pt>
                <c:pt idx="56">
                  <c:v>-8.9999999999605507E-2</c:v>
                </c:pt>
                <c:pt idx="57">
                  <c:v>-8.9999999999605507E-2</c:v>
                </c:pt>
                <c:pt idx="58">
                  <c:v>-8.9999999999605507E-2</c:v>
                </c:pt>
                <c:pt idx="59">
                  <c:v>-8.9999999999605507E-2</c:v>
                </c:pt>
                <c:pt idx="60">
                  <c:v>-8.9999999999605507E-2</c:v>
                </c:pt>
                <c:pt idx="61">
                  <c:v>-8.9999999999605507E-2</c:v>
                </c:pt>
                <c:pt idx="62">
                  <c:v>-8.9999999999605507E-2</c:v>
                </c:pt>
              </c:numCache>
            </c:numRef>
          </c:val>
          <c:extLst>
            <c:ext xmlns:c16="http://schemas.microsoft.com/office/drawing/2014/chart" uri="{C3380CC4-5D6E-409C-BE32-E72D297353CC}">
              <c16:uniqueId val="{00000003-BDB7-406C-9561-1D7B765CA671}"/>
            </c:ext>
          </c:extLst>
        </c:ser>
        <c:ser>
          <c:idx val="4"/>
          <c:order val="3"/>
          <c:tx>
            <c:strRef>
              <c:f>Summary!$A$55</c:f>
              <c:strCache>
                <c:ptCount val="1"/>
                <c:pt idx="0">
                  <c:v>Certified</c:v>
                </c:pt>
              </c:strCache>
            </c:strRef>
          </c:tx>
          <c:spPr>
            <a:solidFill>
              <a:schemeClr val="accent5"/>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Summary!$D$55:$BN$55</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171.6</c:v>
                </c:pt>
                <c:pt idx="30">
                  <c:v>211.6</c:v>
                </c:pt>
                <c:pt idx="31">
                  <c:v>525.6</c:v>
                </c:pt>
                <c:pt idx="32">
                  <c:v>525.6</c:v>
                </c:pt>
                <c:pt idx="33">
                  <c:v>525.6</c:v>
                </c:pt>
                <c:pt idx="34">
                  <c:v>525.6</c:v>
                </c:pt>
                <c:pt idx="35">
                  <c:v>667.6</c:v>
                </c:pt>
                <c:pt idx="36">
                  <c:v>667.6</c:v>
                </c:pt>
                <c:pt idx="37">
                  <c:v>667.6</c:v>
                </c:pt>
                <c:pt idx="38">
                  <c:v>691.6</c:v>
                </c:pt>
                <c:pt idx="39">
                  <c:v>1345.6</c:v>
                </c:pt>
                <c:pt idx="40">
                  <c:v>1373.6029999999998</c:v>
                </c:pt>
                <c:pt idx="41">
                  <c:v>1532.5029999999999</c:v>
                </c:pt>
                <c:pt idx="42">
                  <c:v>1532.5029999999999</c:v>
                </c:pt>
                <c:pt idx="43">
                  <c:v>1532.5029999999999</c:v>
                </c:pt>
                <c:pt idx="44">
                  <c:v>1532.5029999999999</c:v>
                </c:pt>
                <c:pt idx="45">
                  <c:v>1566.5029999999999</c:v>
                </c:pt>
                <c:pt idx="46">
                  <c:v>1566.5029999999999</c:v>
                </c:pt>
                <c:pt idx="47">
                  <c:v>1566.5029999999999</c:v>
                </c:pt>
                <c:pt idx="48">
                  <c:v>1745.6030000000001</c:v>
                </c:pt>
                <c:pt idx="49">
                  <c:v>1745.6030000000001</c:v>
                </c:pt>
                <c:pt idx="50">
                  <c:v>2072.9029999999998</c:v>
                </c:pt>
                <c:pt idx="51">
                  <c:v>2072.9029999999998</c:v>
                </c:pt>
                <c:pt idx="52">
                  <c:v>2072.9029999999998</c:v>
                </c:pt>
                <c:pt idx="53">
                  <c:v>2072.9029999999998</c:v>
                </c:pt>
                <c:pt idx="54">
                  <c:v>2072.9029999999998</c:v>
                </c:pt>
                <c:pt idx="55">
                  <c:v>2072.9029999999998</c:v>
                </c:pt>
                <c:pt idx="56">
                  <c:v>2072.9029999999998</c:v>
                </c:pt>
                <c:pt idx="57">
                  <c:v>2072.9029999999998</c:v>
                </c:pt>
                <c:pt idx="58">
                  <c:v>2072.9029999999998</c:v>
                </c:pt>
                <c:pt idx="59">
                  <c:v>2072.9029999999998</c:v>
                </c:pt>
                <c:pt idx="60">
                  <c:v>2072.9029999999998</c:v>
                </c:pt>
                <c:pt idx="61">
                  <c:v>2072.9029999999998</c:v>
                </c:pt>
                <c:pt idx="62">
                  <c:v>2072.9029999999998</c:v>
                </c:pt>
              </c:numCache>
            </c:numRef>
          </c:val>
          <c:extLst>
            <c:ext xmlns:c16="http://schemas.microsoft.com/office/drawing/2014/chart" uri="{C3380CC4-5D6E-409C-BE32-E72D297353CC}">
              <c16:uniqueId val="{00000004-BDB7-406C-9561-1D7B765CA671}"/>
            </c:ext>
          </c:extLst>
        </c:ser>
        <c:ser>
          <c:idx val="0"/>
          <c:order val="4"/>
          <c:tx>
            <c:strRef>
              <c:f>Summary!$A$51</c:f>
              <c:strCache>
                <c:ptCount val="1"/>
                <c:pt idx="0">
                  <c:v>Available</c:v>
                </c:pt>
              </c:strCache>
            </c:strRef>
          </c:tx>
          <c:spPr>
            <a:solidFill>
              <a:srgbClr val="00B050"/>
            </a:solidFill>
            <a:ln w="25400">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Summary!$D$51:$BN$51</c:f>
              <c:numCache>
                <c:formatCode>0.0</c:formatCode>
                <c:ptCount val="63"/>
                <c:pt idx="0">
                  <c:v>0</c:v>
                </c:pt>
                <c:pt idx="1">
                  <c:v>0</c:v>
                </c:pt>
                <c:pt idx="2">
                  <c:v>33.869</c:v>
                </c:pt>
                <c:pt idx="3">
                  <c:v>78.697000000000003</c:v>
                </c:pt>
                <c:pt idx="4">
                  <c:v>129.40700000000001</c:v>
                </c:pt>
                <c:pt idx="5">
                  <c:v>241.43900000000002</c:v>
                </c:pt>
                <c:pt idx="6">
                  <c:v>433.27699999999999</c:v>
                </c:pt>
                <c:pt idx="7">
                  <c:v>475.17099999999994</c:v>
                </c:pt>
                <c:pt idx="8">
                  <c:v>464.81700000000001</c:v>
                </c:pt>
                <c:pt idx="9">
                  <c:v>471.62699999999995</c:v>
                </c:pt>
                <c:pt idx="10">
                  <c:v>416.55099999999987</c:v>
                </c:pt>
                <c:pt idx="11">
                  <c:v>247.48499999999996</c:v>
                </c:pt>
                <c:pt idx="12">
                  <c:v>192.02399999999989</c:v>
                </c:pt>
                <c:pt idx="13">
                  <c:v>157.54999999999984</c:v>
                </c:pt>
                <c:pt idx="14">
                  <c:v>124.27799999999991</c:v>
                </c:pt>
                <c:pt idx="15">
                  <c:v>101.94000000000005</c:v>
                </c:pt>
                <c:pt idx="16">
                  <c:v>144.45800000000008</c:v>
                </c:pt>
                <c:pt idx="17">
                  <c:v>159.42900000000009</c:v>
                </c:pt>
                <c:pt idx="18">
                  <c:v>159.42900000000009</c:v>
                </c:pt>
                <c:pt idx="19">
                  <c:v>135.18100000000004</c:v>
                </c:pt>
                <c:pt idx="20">
                  <c:v>100.56299999999999</c:v>
                </c:pt>
                <c:pt idx="21">
                  <c:v>142.80099999999993</c:v>
                </c:pt>
                <c:pt idx="22">
                  <c:v>279.12799999999993</c:v>
                </c:pt>
                <c:pt idx="23">
                  <c:v>689.34399999999982</c:v>
                </c:pt>
                <c:pt idx="24">
                  <c:v>722.03700000000003</c:v>
                </c:pt>
                <c:pt idx="25">
                  <c:v>1085.2199999999998</c:v>
                </c:pt>
                <c:pt idx="26">
                  <c:v>1177.7199999999998</c:v>
                </c:pt>
                <c:pt idx="27">
                  <c:v>1006.1199999999998</c:v>
                </c:pt>
                <c:pt idx="28">
                  <c:v>696.29899999999986</c:v>
                </c:pt>
                <c:pt idx="29">
                  <c:v>479.40599999999961</c:v>
                </c:pt>
                <c:pt idx="30">
                  <c:v>326.53799999999967</c:v>
                </c:pt>
                <c:pt idx="31">
                  <c:v>-6.2000000000438149E-2</c:v>
                </c:pt>
                <c:pt idx="32">
                  <c:v>-6.2000000000438149E-2</c:v>
                </c:pt>
                <c:pt idx="33">
                  <c:v>-6.2000000000438149E-2</c:v>
                </c:pt>
                <c:pt idx="34">
                  <c:v>-6.2000000000438149E-2</c:v>
                </c:pt>
                <c:pt idx="35">
                  <c:v>-6.2000000000438149E-2</c:v>
                </c:pt>
                <c:pt idx="36">
                  <c:v>-6.2000000000438149E-2</c:v>
                </c:pt>
                <c:pt idx="37">
                  <c:v>-6.2000000000438149E-2</c:v>
                </c:pt>
                <c:pt idx="38">
                  <c:v>-6.2000000000438149E-2</c:v>
                </c:pt>
                <c:pt idx="39">
                  <c:v>-6.2000000000438149E-2</c:v>
                </c:pt>
                <c:pt idx="40">
                  <c:v>-6.2000000000438149E-2</c:v>
                </c:pt>
                <c:pt idx="41">
                  <c:v>-6.2000000000438149E-2</c:v>
                </c:pt>
                <c:pt idx="42">
                  <c:v>-6.2000000000438149E-2</c:v>
                </c:pt>
                <c:pt idx="43">
                  <c:v>-6.2000000000438149E-2</c:v>
                </c:pt>
                <c:pt idx="44">
                  <c:v>-6.2000000000438149E-2</c:v>
                </c:pt>
                <c:pt idx="45">
                  <c:v>-6.2000000000438149E-2</c:v>
                </c:pt>
                <c:pt idx="46">
                  <c:v>-6.2000000000438149E-2</c:v>
                </c:pt>
                <c:pt idx="47">
                  <c:v>-6.2000000000438149E-2</c:v>
                </c:pt>
                <c:pt idx="48">
                  <c:v>-6.2000000000438149E-2</c:v>
                </c:pt>
                <c:pt idx="49">
                  <c:v>-6.2000000000438149E-2</c:v>
                </c:pt>
                <c:pt idx="50">
                  <c:v>-6.2000000000438149E-2</c:v>
                </c:pt>
                <c:pt idx="51">
                  <c:v>-6.2000000000438149E-2</c:v>
                </c:pt>
                <c:pt idx="52">
                  <c:v>-6.2000000000438149E-2</c:v>
                </c:pt>
                <c:pt idx="53">
                  <c:v>-6.2000000000438149E-2</c:v>
                </c:pt>
                <c:pt idx="54">
                  <c:v>-6.2000000000438149E-2</c:v>
                </c:pt>
                <c:pt idx="55">
                  <c:v>-6.2000000000438149E-2</c:v>
                </c:pt>
                <c:pt idx="56">
                  <c:v>-6.2000000000438149E-2</c:v>
                </c:pt>
                <c:pt idx="57">
                  <c:v>-6.2000000000438149E-2</c:v>
                </c:pt>
                <c:pt idx="58">
                  <c:v>-6.2000000000438149E-2</c:v>
                </c:pt>
                <c:pt idx="59">
                  <c:v>-6.2000000000438149E-2</c:v>
                </c:pt>
                <c:pt idx="60">
                  <c:v>-6.2000000000438149E-2</c:v>
                </c:pt>
                <c:pt idx="61">
                  <c:v>-6.2000000000438149E-2</c:v>
                </c:pt>
                <c:pt idx="62">
                  <c:v>-6.2000000000438149E-2</c:v>
                </c:pt>
              </c:numCache>
            </c:numRef>
          </c:val>
          <c:extLst>
            <c:ext xmlns:c16="http://schemas.microsoft.com/office/drawing/2014/chart" uri="{C3380CC4-5D6E-409C-BE32-E72D297353CC}">
              <c16:uniqueId val="{00000000-BDB7-406C-9561-1D7B765CA671}"/>
            </c:ext>
          </c:extLst>
        </c:ser>
        <c:dLbls>
          <c:showLegendKey val="0"/>
          <c:showVal val="0"/>
          <c:showCatName val="0"/>
          <c:showSerName val="0"/>
          <c:showPercent val="0"/>
          <c:showBubbleSize val="0"/>
        </c:dLbls>
        <c:axId val="408736776"/>
        <c:axId val="408736448"/>
      </c:areaChart>
      <c:catAx>
        <c:axId val="408736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448"/>
        <c:crosses val="autoZero"/>
        <c:auto val="1"/>
        <c:lblAlgn val="ctr"/>
        <c:lblOffset val="100"/>
        <c:noMultiLvlLbl val="0"/>
      </c:catAx>
      <c:valAx>
        <c:axId val="408736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77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66</xdr:col>
      <xdr:colOff>266700</xdr:colOff>
      <xdr:row>4</xdr:row>
      <xdr:rowOff>4762</xdr:rowOff>
    </xdr:from>
    <xdr:to>
      <xdr:col>79</xdr:col>
      <xdr:colOff>114300</xdr:colOff>
      <xdr:row>53</xdr:row>
      <xdr:rowOff>95250</xdr:rowOff>
    </xdr:to>
    <xdr:graphicFrame macro="">
      <xdr:nvGraphicFramePr>
        <xdr:cNvPr id="2" name="Chart 1">
          <a:extLst>
            <a:ext uri="{FF2B5EF4-FFF2-40B4-BE49-F238E27FC236}">
              <a16:creationId xmlns:a16="http://schemas.microsoft.com/office/drawing/2014/main" id="{3C66686E-AF09-46B3-A1D1-5A3F2E6B4D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66</xdr:col>
      <xdr:colOff>285749</xdr:colOff>
      <xdr:row>54</xdr:row>
      <xdr:rowOff>90487</xdr:rowOff>
    </xdr:from>
    <xdr:to>
      <xdr:col>78</xdr:col>
      <xdr:colOff>598713</xdr:colOff>
      <xdr:row>71</xdr:row>
      <xdr:rowOff>40821</xdr:rowOff>
    </xdr:to>
    <xdr:graphicFrame macro="">
      <xdr:nvGraphicFramePr>
        <xdr:cNvPr id="3" name="Chart 2">
          <a:extLst>
            <a:ext uri="{FF2B5EF4-FFF2-40B4-BE49-F238E27FC236}">
              <a16:creationId xmlns:a16="http://schemas.microsoft.com/office/drawing/2014/main" id="{D851A636-B5B0-4CE8-A096-4802FA762E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51</xdr:col>
      <xdr:colOff>704850</xdr:colOff>
      <xdr:row>63</xdr:row>
      <xdr:rowOff>80962</xdr:rowOff>
    </xdr:from>
    <xdr:to>
      <xdr:col>65</xdr:col>
      <xdr:colOff>666750</xdr:colOff>
      <xdr:row>100</xdr:row>
      <xdr:rowOff>171450</xdr:rowOff>
    </xdr:to>
    <xdr:graphicFrame macro="">
      <xdr:nvGraphicFramePr>
        <xdr:cNvPr id="4" name="Chart 3">
          <a:extLst>
            <a:ext uri="{FF2B5EF4-FFF2-40B4-BE49-F238E27FC236}">
              <a16:creationId xmlns:a16="http://schemas.microsoft.com/office/drawing/2014/main" id="{165008A7-4A0A-48A0-8A94-3A663778FE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79</xdr:col>
      <xdr:colOff>338137</xdr:colOff>
      <xdr:row>4</xdr:row>
      <xdr:rowOff>123824</xdr:rowOff>
    </xdr:from>
    <xdr:to>
      <xdr:col>92</xdr:col>
      <xdr:colOff>185737</xdr:colOff>
      <xdr:row>54</xdr:row>
      <xdr:rowOff>23812</xdr:rowOff>
    </xdr:to>
    <xdr:graphicFrame macro="">
      <xdr:nvGraphicFramePr>
        <xdr:cNvPr id="5" name="Chart 4">
          <a:extLst>
            <a:ext uri="{FF2B5EF4-FFF2-40B4-BE49-F238E27FC236}">
              <a16:creationId xmlns:a16="http://schemas.microsoft.com/office/drawing/2014/main" id="{F02E62C1-B07D-41EB-9FA1-5A680CB968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AJ9" headerRowCount="0" totalsRowShown="0" headerRowDxfId="1619" headerRowBorderDxfId="1618" tableBorderDxfId="1617" totalsRowBorderDxfId="1616">
  <tableColumns count="36">
    <tableColumn id="1" xr3:uid="{00000000-0010-0000-0000-000001000000}" name="Column1" headerRowDxfId="1615" dataDxfId="1614"/>
    <tableColumn id="2" xr3:uid="{00000000-0010-0000-0000-000002000000}" name="Column2" headerRowDxfId="1613" dataDxfId="1612"/>
    <tableColumn id="3" xr3:uid="{00000000-0010-0000-0000-000003000000}" name="Column3" headerRowDxfId="1611" dataDxfId="1610"/>
    <tableColumn id="4" xr3:uid="{00000000-0010-0000-0000-000004000000}" name="Column4" headerRowDxfId="1609" dataDxfId="1608"/>
    <tableColumn id="5" xr3:uid="{00000000-0010-0000-0000-000005000000}" name="Column5" headerRowDxfId="1607" dataDxfId="1606"/>
    <tableColumn id="6" xr3:uid="{00000000-0010-0000-0000-000006000000}" name="Column6" headerRowDxfId="1605" dataDxfId="1604"/>
    <tableColumn id="7" xr3:uid="{00000000-0010-0000-0000-000007000000}" name="Column7" headerRowDxfId="1603" dataDxfId="1602"/>
    <tableColumn id="8" xr3:uid="{00000000-0010-0000-0000-000008000000}" name="Column8" headerRowDxfId="1601" dataDxfId="1600"/>
    <tableColumn id="9" xr3:uid="{00000000-0010-0000-0000-000009000000}" name="Column9" headerRowDxfId="1599" dataDxfId="1598"/>
    <tableColumn id="10" xr3:uid="{00000000-0010-0000-0000-00000A000000}" name="Column10" headerRowDxfId="1597" dataDxfId="1596"/>
    <tableColumn id="11" xr3:uid="{00000000-0010-0000-0000-00000B000000}" name="Column11" headerRowDxfId="1595" dataDxfId="1594"/>
    <tableColumn id="12" xr3:uid="{C2007B46-2ED3-4EB3-A763-91D6D5BAD287}" name="Column12" headerRowDxfId="1593" dataDxfId="1592"/>
    <tableColumn id="13" xr3:uid="{B37EFE11-0ACC-4827-94BC-3DDE7084D259}" name="Column13" headerRowDxfId="1591" dataDxfId="1590"/>
    <tableColumn id="14" xr3:uid="{8533CD41-2DD6-4AC0-8437-4AD601FFC2F9}" name="Column14" headerRowDxfId="1589" dataDxfId="1588"/>
    <tableColumn id="15" xr3:uid="{8C61B8BB-E695-45E9-AEE3-065F09EF6A33}" name="Column15" headerRowDxfId="1587" dataDxfId="1586"/>
    <tableColumn id="16" xr3:uid="{22F63629-CB26-4268-B1A8-8C5045EC33CA}" name="Column16" headerRowDxfId="1585" dataDxfId="1584"/>
    <tableColumn id="17" xr3:uid="{0EB5C65C-3795-4D37-8E7C-C718BFD4A54B}" name="Column17" headerRowDxfId="1583" dataDxfId="1582"/>
    <tableColumn id="18" xr3:uid="{3E51EA35-BFE9-405D-AB58-2BF6FB957236}" name="Column18" headerRowDxfId="1581" dataDxfId="1580"/>
    <tableColumn id="19" xr3:uid="{B3A205ED-BFFB-49BA-B171-B321D2E91ECF}" name="Column19" headerRowDxfId="1579" dataDxfId="1578"/>
    <tableColumn id="20" xr3:uid="{1E991E28-F96E-4B5B-BD68-EBABF78E5972}" name="Column20" headerRowDxfId="1577" dataDxfId="1576"/>
    <tableColumn id="21" xr3:uid="{C8190ED2-71DA-475B-911B-3AE96EEB284D}" name="Column21" headerRowDxfId="1575" dataDxfId="1574"/>
    <tableColumn id="22" xr3:uid="{247720F1-2BFB-45DC-9024-F03FAC6989A3}" name="Column22" headerRowDxfId="1573" dataDxfId="1572"/>
    <tableColumn id="23" xr3:uid="{1CCD7026-CD9D-4248-9053-57FEEF81DB21}" name="Column23" headerRowDxfId="1571" dataDxfId="1570"/>
    <tableColumn id="24" xr3:uid="{214DD3A3-B4F5-4642-AC58-393B255A97E8}" name="Column24" headerRowDxfId="1569" dataDxfId="1568"/>
    <tableColumn id="25" xr3:uid="{B97E428C-6A99-406B-BA55-4D373E217ED6}" name="Column25" headerRowDxfId="1567" dataDxfId="1566"/>
    <tableColumn id="26" xr3:uid="{66C92762-7A0C-470E-8CCA-46E3DC3E6E46}" name="Column26" headerRowDxfId="1565" dataDxfId="1564"/>
    <tableColumn id="27" xr3:uid="{9DEBE9C5-84D3-4E76-80DB-70C9017F0354}" name="Column27" headerRowDxfId="1563" dataDxfId="1562"/>
    <tableColumn id="28" xr3:uid="{C22EC564-9387-4025-A0CC-8DB0EEBDB406}" name="Column28" headerRowDxfId="1561" dataDxfId="1560"/>
    <tableColumn id="29" xr3:uid="{E344D76F-34D6-4B95-9011-6A5A439F7AE0}" name="Column29" headerRowDxfId="1559" dataDxfId="1558"/>
    <tableColumn id="30" xr3:uid="{9F456AC6-C1F9-4751-A31B-942DA875ED3F}" name="Column30" headerRowDxfId="1557" dataDxfId="1556"/>
    <tableColumn id="31" xr3:uid="{0ECC1C59-F14C-4276-869E-006C7D1FD304}" name="Column31" headerRowDxfId="1555" dataDxfId="1554"/>
    <tableColumn id="32" xr3:uid="{EB6B8A6F-FC5A-4A5D-AB88-E05527B77CEC}" name="Column32" headerRowDxfId="1553" dataDxfId="1552"/>
    <tableColumn id="33" xr3:uid="{8D7F19BD-2E19-497D-8FB9-046B6B5AEAED}" name="Column33" headerRowDxfId="1551" dataDxfId="1550"/>
    <tableColumn id="34" xr3:uid="{FCD1DB1C-0806-49F0-9544-5198CD200351}" name="Column34" headerRowDxfId="1549" dataDxfId="1548"/>
    <tableColumn id="35" xr3:uid="{7F0926AE-A00B-4BF1-BE1C-FAF12C0B70D6}" name="Column35" headerRowDxfId="1547" dataDxfId="1546"/>
    <tableColumn id="36" xr3:uid="{F96AD724-9519-43CE-B91D-BFA443B39C96}" name="Column36" headerRowDxfId="1545" dataDxfId="1544"/>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C3D0F73-79F9-4846-9839-C8620FA17928}" name="Table357911" displayName="Table357911" ref="A11:AN16" headerRowCount="0" totalsRowShown="0" headerRowDxfId="978" headerRowBorderDxfId="977" tableBorderDxfId="976" totalsRowBorderDxfId="975">
  <tableColumns count="40">
    <tableColumn id="1" xr3:uid="{99DEED0F-079F-4FB8-966A-DD709B15BD24}" name="Column1" headerRowDxfId="974" dataDxfId="973"/>
    <tableColumn id="2" xr3:uid="{2D50B0E6-26C3-46F0-AD0E-9E71A6272F70}" name="Column2" headerRowDxfId="972" dataDxfId="971"/>
    <tableColumn id="3" xr3:uid="{35D15D10-2A73-4EE6-B060-0F7F21E3B2B2}" name="Column3" headerRowDxfId="970" dataDxfId="969"/>
    <tableColumn id="4" xr3:uid="{FC77725E-E890-4E03-8197-8D694F227F33}" name="Column4" headerRowDxfId="968" dataDxfId="967"/>
    <tableColumn id="5" xr3:uid="{8E9A6400-0D56-4C06-8C80-35773F9415A3}" name="Column5" headerRowDxfId="966" dataDxfId="965"/>
    <tableColumn id="6" xr3:uid="{D7F78E71-007F-4484-966D-0339EF781F1D}" name="Column6" headerRowDxfId="964" dataDxfId="963"/>
    <tableColumn id="7" xr3:uid="{1D7A3CE4-6ABF-4261-8152-66327EA8BEF3}" name="Column7" headerRowDxfId="962" dataDxfId="961"/>
    <tableColumn id="8" xr3:uid="{5ACAFAC4-84A3-4922-9411-6B75A1934C5E}" name="Column8" headerRowDxfId="960" dataDxfId="959"/>
    <tableColumn id="9" xr3:uid="{6863B5B7-179C-48EF-B189-9FF7F07A82FC}" name="Column9" headerRowDxfId="958" dataDxfId="957"/>
    <tableColumn id="10" xr3:uid="{BE5DA902-5FAB-4707-A8C3-2C2C2ADF6E31}" name="Column10" headerRowDxfId="956" dataDxfId="955"/>
    <tableColumn id="11" xr3:uid="{AFEC94B6-4342-441F-A082-1AF123AE3130}" name="Column11" headerRowDxfId="954" dataDxfId="953"/>
    <tableColumn id="12" xr3:uid="{F8A01B96-2DCD-4A37-BFA4-5C72A845A1AC}" name="Column12" headerRowDxfId="952" dataDxfId="951"/>
    <tableColumn id="13" xr3:uid="{4CCF8FB7-9E1C-49D8-8191-106817454DBC}" name="Column13" headerRowDxfId="950" dataDxfId="949"/>
    <tableColumn id="14" xr3:uid="{EE90E952-E3BD-4C15-B5C9-28479283954F}" name="Column14" headerRowDxfId="948" dataDxfId="947"/>
    <tableColumn id="15" xr3:uid="{9B36A0DD-19FC-44A4-BFEF-314816F04C7B}" name="Column15" headerRowDxfId="946" dataDxfId="945"/>
    <tableColumn id="16" xr3:uid="{F697767C-946D-4FDA-9417-B84F989CF54A}" name="Column16" headerRowDxfId="944" dataDxfId="943"/>
    <tableColumn id="17" xr3:uid="{6D984D1A-204B-4A35-9F5D-7D501B45B5B4}" name="Column17" headerRowDxfId="942" dataDxfId="941"/>
    <tableColumn id="18" xr3:uid="{7F05164D-B680-4535-9B6F-01F067C967DB}" name="Column18" headerRowDxfId="940" dataDxfId="939"/>
    <tableColumn id="19" xr3:uid="{DA4EC712-91B0-493A-97E1-72D1F8A2581B}" name="Column19" headerRowDxfId="938" dataDxfId="937"/>
    <tableColumn id="20" xr3:uid="{3AB89F35-EA5D-4A26-AF46-72D811B71171}" name="Column20" headerRowDxfId="936" dataDxfId="935"/>
    <tableColumn id="21" xr3:uid="{9842B09B-7E3F-4CCE-B5C7-EEB95EDD8C03}" name="Column21" headerRowDxfId="934" dataDxfId="933"/>
    <tableColumn id="22" xr3:uid="{2EE1BDB3-B5D4-4570-BFAE-C8DD53814F1A}" name="Column22" headerRowDxfId="932" dataDxfId="931"/>
    <tableColumn id="23" xr3:uid="{632C8A53-92A0-42DF-91E3-71AED6FAE415}" name="Column23" headerRowDxfId="930" dataDxfId="929"/>
    <tableColumn id="24" xr3:uid="{71158CA3-4D52-40C4-A446-C5060A371BE5}" name="Column24" headerRowDxfId="928" dataDxfId="927"/>
    <tableColumn id="25" xr3:uid="{4DFC7A8E-7DF1-4648-A64D-2B55B19C489F}" name="Column25" headerRowDxfId="926" dataDxfId="925"/>
    <tableColumn id="26" xr3:uid="{3327A3F7-8002-48CE-8C72-D6949D691F9C}" name="Column26" headerRowDxfId="924" dataDxfId="923"/>
    <tableColumn id="27" xr3:uid="{36B2FF45-C2ED-4E1D-9818-56FB4C3A807E}" name="Column27" headerRowDxfId="922" dataDxfId="921"/>
    <tableColumn id="28" xr3:uid="{31FFDAE9-BEE9-4907-90A2-CA8457EDDC1A}" name="Column28" headerRowDxfId="920" dataDxfId="919"/>
    <tableColumn id="29" xr3:uid="{6182501C-C715-4C10-B21D-540A9B610208}" name="Column29" headerRowDxfId="918" dataDxfId="917"/>
    <tableColumn id="30" xr3:uid="{704DB40B-080E-4799-9480-CDAC71DB4328}" name="Column30" headerRowDxfId="916" dataDxfId="915"/>
    <tableColumn id="31" xr3:uid="{A40FFE69-19C1-4CDD-839F-45B692FF5130}" name="Column31" headerRowDxfId="914" dataDxfId="913"/>
    <tableColumn id="32" xr3:uid="{E45AC3E2-A4D4-4F47-941E-A7BBE97F7422}" name="Column32" headerRowDxfId="912" dataDxfId="911"/>
    <tableColumn id="33" xr3:uid="{2E27BF9C-E3A5-4C70-A162-A3651793406B}" name="Column33" headerRowDxfId="910" dataDxfId="909"/>
    <tableColumn id="34" xr3:uid="{C1810CC2-E23A-46E4-A28D-E0B684AB1686}" name="Column34" headerRowDxfId="908" dataDxfId="907"/>
    <tableColumn id="35" xr3:uid="{B050A865-F9D3-4896-9A82-99977E2F06CB}" name="Column35" headerRowDxfId="906" dataDxfId="905"/>
    <tableColumn id="36" xr3:uid="{E1A99DD8-8915-4ED2-B4B6-25C45F79597D}" name="Column36" headerRowDxfId="904" dataDxfId="903"/>
    <tableColumn id="37" xr3:uid="{CC1B5737-D7DD-4C92-8A99-982C92C2CE2E}" name="Column37" headerRowDxfId="902" dataDxfId="901"/>
    <tableColumn id="38" xr3:uid="{4B1D7360-28CC-437E-8864-2F386E04476B}" name="Column38" headerRowDxfId="900" dataDxfId="899"/>
    <tableColumn id="39" xr3:uid="{5A7FA364-69B6-4183-8B24-6B47BA12CEE5}" name="Column39" headerRowDxfId="898" dataDxfId="897"/>
    <tableColumn id="40" xr3:uid="{E60B791C-D954-4184-B386-1FE559035808}" name="Column40" headerRowDxfId="896" dataDxfId="895"/>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A381D75-570A-4856-B25B-ECA600146A72}" name="Table22681012" displayName="Table22681012" ref="A7:AE9" headerRowCount="0" totalsRowShown="0" headerRowDxfId="891" headerRowBorderDxfId="890" tableBorderDxfId="889" totalsRowBorderDxfId="888">
  <tableColumns count="31">
    <tableColumn id="1" xr3:uid="{5344D37A-E176-46C8-9EE3-4C4E4BE15176}" name="Column1" headerRowDxfId="887" dataDxfId="886"/>
    <tableColumn id="2" xr3:uid="{D606F3D2-99CC-4D01-90F9-F74B2A9E157A}" name="Column2" headerRowDxfId="885" dataDxfId="884"/>
    <tableColumn id="3" xr3:uid="{F25F4ECC-2758-4238-9C69-2E842B8511EC}" name="Column3" headerRowDxfId="883" dataDxfId="882"/>
    <tableColumn id="4" xr3:uid="{BDB54CC9-2FED-4EC6-8E2B-2158A51947AE}" name="Column4" headerRowDxfId="881" dataDxfId="880"/>
    <tableColumn id="5" xr3:uid="{02317804-F4F6-401A-9F77-37430296520B}" name="Column5" headerRowDxfId="879" dataDxfId="878"/>
    <tableColumn id="6" xr3:uid="{2F3AE95B-2736-458F-8684-50B4DCB8B100}" name="Column6" headerRowDxfId="877" dataDxfId="876"/>
    <tableColumn id="7" xr3:uid="{66A20563-2ACF-4637-9E10-03BA1B9713BA}" name="Column7" headerRowDxfId="875" dataDxfId="874"/>
    <tableColumn id="8" xr3:uid="{1452A150-D255-4226-AEEB-66BCAF0F54DA}" name="Column8" headerRowDxfId="873" dataDxfId="872"/>
    <tableColumn id="9" xr3:uid="{EFCF1BC0-06BD-4A69-82F8-04C7B6D7D04B}" name="Column9" headerRowDxfId="871" dataDxfId="870"/>
    <tableColumn id="10" xr3:uid="{C5137921-FA35-4F91-A0AA-11DC1B32EF8B}" name="Column10" headerRowDxfId="869" dataDxfId="868"/>
    <tableColumn id="11" xr3:uid="{ED390C76-ADC4-449D-9B0F-A46F7E798D09}" name="Column11" headerRowDxfId="867" dataDxfId="866"/>
    <tableColumn id="12" xr3:uid="{C853A284-90B6-4A7E-8A74-9000E280FCE6}" name="Column12" headerRowDxfId="865" dataDxfId="864"/>
    <tableColumn id="13" xr3:uid="{413F1AE7-8B08-4C7E-AC75-BD9B04FE77D2}" name="Column13" headerRowDxfId="863" dataDxfId="862"/>
    <tableColumn id="14" xr3:uid="{D6ABC2A5-AED9-47AE-8E2A-131120F5FA95}" name="Column14" headerRowDxfId="861" dataDxfId="860"/>
    <tableColumn id="15" xr3:uid="{4E0C59E2-C840-491B-A226-3F0221D54661}" name="Column15" headerRowDxfId="859" dataDxfId="858"/>
    <tableColumn id="16" xr3:uid="{E24CA623-2AC9-475D-8AFB-8F193FA9A494}" name="Column16" headerRowDxfId="857" dataDxfId="856"/>
    <tableColumn id="17" xr3:uid="{45921727-FEF3-47C1-861F-E75BA130BAA2}" name="Column17" headerRowDxfId="855" dataDxfId="854"/>
    <tableColumn id="18" xr3:uid="{A7497FD6-1077-46AD-83E5-AB4FBF0ED8FF}" name="Column18" headerRowDxfId="853" dataDxfId="852"/>
    <tableColumn id="19" xr3:uid="{D20040DD-E0DE-49F7-B61B-E1A96DD4825D}" name="Column19" headerRowDxfId="851" dataDxfId="850"/>
    <tableColumn id="20" xr3:uid="{AA88BC75-B9B2-4AB8-B67C-E4F084D9A9A1}" name="Column20" headerRowDxfId="849" dataDxfId="848"/>
    <tableColumn id="21" xr3:uid="{164BE698-836B-4D69-AC5F-57BAAE6185A2}" name="Column21" headerRowDxfId="847" dataDxfId="846"/>
    <tableColumn id="22" xr3:uid="{8A22BB66-97F8-4264-A9D9-FBF79BE9EF59}" name="Column22" headerRowDxfId="845" dataDxfId="844"/>
    <tableColumn id="23" xr3:uid="{CEA4FB21-BB73-4969-8FC0-FC1B901E7070}" name="Column23" headerRowDxfId="843" dataDxfId="842"/>
    <tableColumn id="24" xr3:uid="{2142CDB7-CDF8-4BE3-BB33-8282885DDC9F}" name="Column24" headerRowDxfId="841" dataDxfId="840"/>
    <tableColumn id="25" xr3:uid="{83583E78-06A2-4953-8AC8-E764E2B0EE10}" name="Column25" headerRowDxfId="839" dataDxfId="838"/>
    <tableColumn id="26" xr3:uid="{1DD6619E-5B17-430E-9BD4-FCE3B5DA44C8}" name="Column26" headerRowDxfId="837" dataDxfId="836"/>
    <tableColumn id="27" xr3:uid="{53DA25FB-0323-46A2-A738-E8B0A771042B}" name="Column27" headerRowDxfId="835" dataDxfId="834"/>
    <tableColumn id="28" xr3:uid="{56C5D9F1-0664-449F-A7B2-89F463A3B5E9}" name="Column28" headerRowDxfId="833" dataDxfId="832"/>
    <tableColumn id="29" xr3:uid="{0F915A03-3539-4CBD-BE5C-849513846EA7}" name="Column29" headerRowDxfId="831" dataDxfId="830"/>
    <tableColumn id="30" xr3:uid="{BF4B6501-8208-454F-BD23-C04537BB9EF4}" name="Column30" headerRowDxfId="829" dataDxfId="828"/>
    <tableColumn id="31" xr3:uid="{D12F5722-C2EF-4F67-A591-BDD5C1CEB2AF}" name="Column31" headerRowDxfId="827" dataDxfId="82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8AD66FE-9258-47DD-BBC7-FBD6C7ED10FE}" name="Table35791117" displayName="Table35791117" ref="A11:AE16" headerRowCount="0" totalsRowShown="0" headerRowDxfId="825" headerRowBorderDxfId="824" tableBorderDxfId="823" totalsRowBorderDxfId="822">
  <tableColumns count="31">
    <tableColumn id="1" xr3:uid="{8B3EC1D2-BFDA-490F-884D-D2F8A4F645FE}" name="Column1" headerRowDxfId="821" dataDxfId="820"/>
    <tableColumn id="2" xr3:uid="{80391403-847F-4F4D-B21F-27269D7F730C}" name="Column2" headerRowDxfId="819" dataDxfId="818"/>
    <tableColumn id="3" xr3:uid="{A10414B9-79A0-4CE4-A7E1-1D3172D365F2}" name="Column3" headerRowDxfId="817" dataDxfId="816"/>
    <tableColumn id="4" xr3:uid="{9E10C524-CC0C-4B9C-B627-604EF40B1D15}" name="Column4" headerRowDxfId="815" dataDxfId="814"/>
    <tableColumn id="5" xr3:uid="{ABBF927F-88F0-434C-AD60-D5D868A62C04}" name="Column5" headerRowDxfId="813" dataDxfId="812"/>
    <tableColumn id="6" xr3:uid="{AA313FB2-EF7F-468D-BF70-817F12AADA05}" name="Column6" headerRowDxfId="811" dataDxfId="810"/>
    <tableColumn id="7" xr3:uid="{F2BAD29B-934C-45BB-BEEA-C00ED0D54DB9}" name="Column7" headerRowDxfId="809" dataDxfId="808"/>
    <tableColumn id="8" xr3:uid="{7D111C26-AE37-4268-9A67-48BC3798E41C}" name="Column8" headerRowDxfId="807" dataDxfId="806"/>
    <tableColumn id="9" xr3:uid="{A63322D0-CD50-438E-970C-00CA4983FDAA}" name="Column9" headerRowDxfId="805" dataDxfId="804"/>
    <tableColumn id="10" xr3:uid="{D68CE6D7-98EF-43AC-972B-96B937B564EF}" name="Column10" headerRowDxfId="803" dataDxfId="802"/>
    <tableColumn id="11" xr3:uid="{F68A2624-83CE-4129-8899-F77095DCF5D8}" name="Column11" headerRowDxfId="801" dataDxfId="800"/>
    <tableColumn id="12" xr3:uid="{C2C62CEB-66A6-4899-A7D5-6B16172BF99A}" name="Column12" headerRowDxfId="799" dataDxfId="798"/>
    <tableColumn id="13" xr3:uid="{93E85917-505A-4BB1-9292-A52C78B74469}" name="Column13" headerRowDxfId="797" dataDxfId="796"/>
    <tableColumn id="14" xr3:uid="{5A9F8C8B-21DB-4607-88F0-EF0C6DB566A5}" name="Column14" headerRowDxfId="795" dataDxfId="794"/>
    <tableColumn id="15" xr3:uid="{317726A5-BA51-4904-B24D-BB6B22D1DE01}" name="Column15" headerRowDxfId="793" dataDxfId="792"/>
    <tableColumn id="16" xr3:uid="{65048152-D6E3-4031-B4A5-6EE47879B72E}" name="Column16" headerRowDxfId="791" dataDxfId="790"/>
    <tableColumn id="17" xr3:uid="{4560DD1A-20ED-4555-9582-1784BC7F0523}" name="Column17" headerRowDxfId="789" dataDxfId="788"/>
    <tableColumn id="18" xr3:uid="{DF354253-ADC7-42C1-BB9D-CBE855B34D8B}" name="Column18" headerRowDxfId="787" dataDxfId="786"/>
    <tableColumn id="19" xr3:uid="{10D92CB9-E4C9-40E4-A8C3-E16E424DE24C}" name="Column19" headerRowDxfId="785" dataDxfId="784"/>
    <tableColumn id="20" xr3:uid="{ABACDEE3-F6CA-4CE7-BB1E-C72374AA1013}" name="Column20" headerRowDxfId="783" dataDxfId="782"/>
    <tableColumn id="21" xr3:uid="{5210DA6E-CED7-465E-9268-6E410E42817C}" name="Column21" headerRowDxfId="781" dataDxfId="780"/>
    <tableColumn id="22" xr3:uid="{D148D9CF-AD75-4E7D-8D49-A0D1CF31BF77}" name="Column22" headerRowDxfId="779" dataDxfId="778"/>
    <tableColumn id="23" xr3:uid="{D6F98565-5A3D-4388-9F0D-7B6CE28C37A6}" name="Column23" headerRowDxfId="777" dataDxfId="776"/>
    <tableColumn id="24" xr3:uid="{BCBBA057-FF61-4E27-B661-BBC5585C77AD}" name="Column24" headerRowDxfId="775" dataDxfId="774"/>
    <tableColumn id="25" xr3:uid="{D0429919-669B-4E9A-8634-DD21611AF68C}" name="Column25" headerRowDxfId="773" dataDxfId="772"/>
    <tableColumn id="26" xr3:uid="{A8D5F3DA-253F-4CE8-9082-7B969A6DD9E9}" name="Column26" headerRowDxfId="771" dataDxfId="770"/>
    <tableColumn id="27" xr3:uid="{BBD0ABD3-6023-4B21-BDDC-999F9900CDBE}" name="Column27" headerRowDxfId="769" dataDxfId="768"/>
    <tableColumn id="28" xr3:uid="{2B9FF580-1082-4B48-B889-AA57E7A48D10}" name="Column28" headerRowDxfId="767" dataDxfId="766"/>
    <tableColumn id="29" xr3:uid="{289D1F24-4340-409E-A4C6-6DBFE9F44B38}" name="Column29" headerRowDxfId="765" dataDxfId="764"/>
    <tableColumn id="30" xr3:uid="{DD675DDE-5F41-4961-AC99-E19D6C33FD3D}" name="Column30" headerRowDxfId="763" dataDxfId="762"/>
    <tableColumn id="31" xr3:uid="{5B04B05D-6C56-4097-9C64-24B2FE8B0F47}" name="Column31" headerRowDxfId="761" dataDxfId="760"/>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A95B0AC-9DD2-495B-8C86-8502D555F29F}" name="Table2268101218" displayName="Table2268101218" ref="A7:AF9" headerRowCount="0" totalsRowShown="0" headerRowDxfId="756" headerRowBorderDxfId="755" tableBorderDxfId="754" totalsRowBorderDxfId="753">
  <tableColumns count="32">
    <tableColumn id="1" xr3:uid="{51D93054-4F14-4EB7-80EE-07813BBC7B9A}" name="Column1" headerRowDxfId="752" dataDxfId="751"/>
    <tableColumn id="2" xr3:uid="{F93461C3-6320-4146-B031-7FCE2ACD37E3}" name="Column2" headerRowDxfId="750" dataDxfId="749"/>
    <tableColumn id="3" xr3:uid="{F5A53AB1-C122-49A4-ABE5-37E8A769BFB7}" name="Column3" headerRowDxfId="748" dataDxfId="747"/>
    <tableColumn id="4" xr3:uid="{B7574BB1-ECDC-43EA-BC3A-A1C945785DDF}" name="Column4" headerRowDxfId="746" dataDxfId="745"/>
    <tableColumn id="5" xr3:uid="{449D9AA7-6613-415A-AB70-6DCDEFEAAE83}" name="Column5" headerRowDxfId="744" dataDxfId="743"/>
    <tableColumn id="6" xr3:uid="{AAB4A608-A590-465C-9D6D-1FFCFF921CB3}" name="Column6" headerRowDxfId="742" dataDxfId="741"/>
    <tableColumn id="7" xr3:uid="{194A365A-BA20-43F5-838A-C09390A59637}" name="Column7" headerRowDxfId="740" dataDxfId="739"/>
    <tableColumn id="8" xr3:uid="{CC081D85-899E-494A-AB30-AEBCBE8EEC07}" name="Column8" headerRowDxfId="738" dataDxfId="737"/>
    <tableColumn id="9" xr3:uid="{12B23FFB-9C6A-43CB-B939-1C713547157D}" name="Column9" headerRowDxfId="736" dataDxfId="735"/>
    <tableColumn id="10" xr3:uid="{0E829E3A-A66D-485C-A025-E3DEC891B94B}" name="Column10" headerRowDxfId="734" dataDxfId="733"/>
    <tableColumn id="11" xr3:uid="{296A09B8-FF21-4A76-839C-E62855DA4BF2}" name="Column11" headerRowDxfId="732" dataDxfId="731"/>
    <tableColumn id="12" xr3:uid="{F9D4AE39-6C80-40CB-B113-F05C8C8CB5FF}" name="Column12" headerRowDxfId="730" dataDxfId="729"/>
    <tableColumn id="13" xr3:uid="{5F530328-8650-4214-BF18-D272DA1D43AF}" name="Column13" headerRowDxfId="728" dataDxfId="727"/>
    <tableColumn id="14" xr3:uid="{17A04E93-405A-4AE5-8004-D1B873153497}" name="Column14" headerRowDxfId="726" dataDxfId="725"/>
    <tableColumn id="15" xr3:uid="{7CF80382-9929-4057-848B-D247C655CD34}" name="Column15" headerRowDxfId="724" dataDxfId="723"/>
    <tableColumn id="16" xr3:uid="{F99C9BF7-081E-413A-B367-EFB6D65C2802}" name="Column16" headerRowDxfId="722" dataDxfId="721"/>
    <tableColumn id="17" xr3:uid="{8C4BAA70-C651-46F4-87F8-71A3FCE360B1}" name="Column17" headerRowDxfId="720" dataDxfId="719"/>
    <tableColumn id="18" xr3:uid="{AFCF949E-558F-4F07-8BD2-814C8A3D9238}" name="Column18" headerRowDxfId="718" dataDxfId="717"/>
    <tableColumn id="19" xr3:uid="{BC5D99D6-1EF1-41CC-8392-F06A61C515C4}" name="Column19" headerRowDxfId="716" dataDxfId="715"/>
    <tableColumn id="20" xr3:uid="{36139F74-FE2F-47FA-B6BF-D23EBF596B76}" name="Column20" headerRowDxfId="714" dataDxfId="713"/>
    <tableColumn id="21" xr3:uid="{25E081F6-EAB4-48CD-8126-EB1022C4DD7F}" name="Column21" headerRowDxfId="712" dataDxfId="711"/>
    <tableColumn id="22" xr3:uid="{7A537362-3311-400D-BC13-8F44528FE22C}" name="Column22" headerRowDxfId="710" dataDxfId="709"/>
    <tableColumn id="23" xr3:uid="{F0A52CA7-25F1-4F4C-AC80-0419FE50337E}" name="Column23" headerRowDxfId="708" dataDxfId="707"/>
    <tableColumn id="24" xr3:uid="{CFF1A4A7-3022-4A07-AA17-3862BFC92402}" name="Column24" headerRowDxfId="706" dataDxfId="705"/>
    <tableColumn id="25" xr3:uid="{A7CF5DAC-9DF3-4D8F-B3D3-BC2F4438922A}" name="Column25" headerRowDxfId="704" dataDxfId="703"/>
    <tableColumn id="26" xr3:uid="{F566C694-D2FA-4077-BA51-5EB0F7C8F108}" name="Column26" headerRowDxfId="702" dataDxfId="701"/>
    <tableColumn id="27" xr3:uid="{9C686EB3-1488-4855-A7E9-62EFCC3FB3C5}" name="Column27" headerRowDxfId="700" dataDxfId="699"/>
    <tableColumn id="28" xr3:uid="{0FD7366D-793C-4EE4-AE89-30726467C570}" name="Column28" headerRowDxfId="698" dataDxfId="697"/>
    <tableColumn id="29" xr3:uid="{70EFBC66-01F9-411E-A467-92E90D6789B4}" name="Column29" headerRowDxfId="696" dataDxfId="695"/>
    <tableColumn id="30" xr3:uid="{A926077A-08C0-4D41-9386-CB04812CD982}" name="Column30" headerRowDxfId="694" dataDxfId="693"/>
    <tableColumn id="31" xr3:uid="{DB01EAD8-C131-4496-8F7D-468B18C40CB4}" name="Column31" headerRowDxfId="692" dataDxfId="691"/>
    <tableColumn id="32" xr3:uid="{5B7E2E79-D12F-4960-AEEB-3053CA7A89BE}" name="Column32" headerRowDxfId="690" dataDxfId="689"/>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E8BE3FF-A1B7-4B8F-804F-286007E19460}" name="Table3579111719" displayName="Table3579111719" ref="A11:AF16" headerRowCount="0" totalsRowShown="0">
  <tableColumns count="32">
    <tableColumn id="1" xr3:uid="{7EC4D377-40F1-42EB-9FD0-064FFA8F8281}" name="Column1" headerRowDxfId="688"/>
    <tableColumn id="2" xr3:uid="{10A834F6-2C9A-43F1-AFEE-DF318A4FB15D}" name="Column2" headerRowDxfId="687" dataDxfId="686"/>
    <tableColumn id="3" xr3:uid="{A392EC31-0D99-480A-A48D-79BF535F2D7D}" name="Column3" headerRowDxfId="685" dataDxfId="684"/>
    <tableColumn id="4" xr3:uid="{3760FF80-C384-4E73-BAC9-493E4D67B490}" name="Column4" headerRowDxfId="683" dataDxfId="682"/>
    <tableColumn id="5" xr3:uid="{3EFE819D-7C59-48BD-BB40-5D9566306A22}" name="Column5" headerRowDxfId="681" dataDxfId="680"/>
    <tableColumn id="6" xr3:uid="{62997D4C-280A-4D7E-B54B-52323DBF1A79}" name="Column6" headerRowDxfId="679" dataDxfId="678"/>
    <tableColumn id="7" xr3:uid="{D44FE102-55EF-4AB8-8FD9-6F309127D57C}" name="Column7" headerRowDxfId="677" dataDxfId="676"/>
    <tableColumn id="8" xr3:uid="{61C072D9-178E-40E0-B2B0-0F344E886B1E}" name="Column8" headerRowDxfId="675" dataDxfId="674"/>
    <tableColumn id="9" xr3:uid="{FC60CD44-6B37-42A3-BC61-6ECD23A5AD98}" name="Column9" headerRowDxfId="673" dataDxfId="672"/>
    <tableColumn id="10" xr3:uid="{7420C2A7-36CF-4A1B-A4E4-98038625BEA1}" name="Column10" headerRowDxfId="671" dataDxfId="670"/>
    <tableColumn id="11" xr3:uid="{20D5586E-13F8-47E4-8959-9D2B26E183AE}" name="Column11" headerRowDxfId="669" dataDxfId="668"/>
    <tableColumn id="12" xr3:uid="{5ABB00FF-C363-402D-8FA9-500745ED6D92}" name="Column12" headerRowDxfId="667" dataDxfId="666"/>
    <tableColumn id="13" xr3:uid="{DDA6F58B-6156-452F-A3E2-624F4B7DD184}" name="Column13" headerRowDxfId="665" dataDxfId="664"/>
    <tableColumn id="14" xr3:uid="{228C3BE3-7B66-41EA-AC86-8D4085F10039}" name="Column14" headerRowDxfId="663" dataDxfId="662"/>
    <tableColumn id="15" xr3:uid="{F09E8986-8E6A-4EEE-9CE6-74DFBF6C9B88}" name="Column15" headerRowDxfId="661" dataDxfId="660"/>
    <tableColumn id="16" xr3:uid="{F40D4937-63C0-4CA8-993C-67CD579FDB7E}" name="Column16" headerRowDxfId="659" dataDxfId="658"/>
    <tableColumn id="17" xr3:uid="{31C4B591-BFD5-46DA-884F-C3D2BFC06294}" name="Column17" headerRowDxfId="657" dataDxfId="656"/>
    <tableColumn id="18" xr3:uid="{EC393894-65E6-499F-A858-749F0F25ADFC}" name="Column18" headerRowDxfId="655" dataDxfId="654"/>
    <tableColumn id="19" xr3:uid="{38136C97-C18D-43A4-9869-9F2218DE6DAE}" name="Column19" headerRowDxfId="653" dataDxfId="652"/>
    <tableColumn id="20" xr3:uid="{7284BDE1-E6DF-4250-97A3-E44F772FEF91}" name="Column20" headerRowDxfId="651" dataDxfId="650"/>
    <tableColumn id="21" xr3:uid="{280B8481-5015-49AF-B698-E10D59586BA6}" name="Column21" headerRowDxfId="649" dataDxfId="648"/>
    <tableColumn id="22" xr3:uid="{F5A29287-53B7-44BA-AC55-D6744CEBEDA1}" name="Column22" headerRowDxfId="647" dataDxfId="646"/>
    <tableColumn id="23" xr3:uid="{CE3C5F4E-97D7-4F69-97FD-6B208AD89CFE}" name="Column23" headerRowDxfId="645" dataDxfId="644"/>
    <tableColumn id="24" xr3:uid="{E54F2430-8998-466A-8642-042B9ACF5E8B}" name="Column24" headerRowDxfId="643" dataDxfId="642"/>
    <tableColumn id="25" xr3:uid="{EFB8CA46-D7D3-467C-995F-0FF146F5C83E}" name="Column25" headerRowDxfId="641" dataDxfId="640"/>
    <tableColumn id="26" xr3:uid="{156A0A67-7D2E-47FD-AB04-921E671069E4}" name="Column26" headerRowDxfId="639" dataDxfId="638"/>
    <tableColumn id="27" xr3:uid="{6627AE29-E2A5-497D-B5C0-2B6D70F1D5B8}" name="Column27" headerRowDxfId="637" dataDxfId="636"/>
    <tableColumn id="28" xr3:uid="{E7BC0146-66CB-405D-9CCF-C0C3425E792B}" name="Column28" headerRowDxfId="635" dataDxfId="634"/>
    <tableColumn id="29" xr3:uid="{1B3637C7-A5FC-4830-8B53-599BACD8DB48}" name="Column29" headerRowDxfId="633" dataDxfId="632"/>
    <tableColumn id="30" xr3:uid="{E5EFF133-413C-44C3-8D4F-CC989880F21B}" name="Column30" headerRowDxfId="631" dataDxfId="630"/>
    <tableColumn id="31" xr3:uid="{21A926CE-A802-47F8-AC46-D3217FB7C205}" name="Column31" headerRowDxfId="629" dataDxfId="628"/>
    <tableColumn id="32" xr3:uid="{D051E561-B92C-4003-8003-2E3C2B1413D1}" name="Column32" headerRowDxfId="627" dataDxfId="626"/>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F607AE6-410E-4FBD-92BD-64D7123B5769}" name="Table226810121820" displayName="Table226810121820" ref="A7:AF9" headerRowCount="0" totalsRowShown="0" headerRowDxfId="616" headerRowBorderDxfId="615" tableBorderDxfId="614" totalsRowBorderDxfId="613">
  <tableColumns count="32">
    <tableColumn id="1" xr3:uid="{F193E0F2-A29A-413D-94D3-B56728AA34B4}" name="Column1" headerRowDxfId="612" dataDxfId="611"/>
    <tableColumn id="2" xr3:uid="{C9C6CB8B-9BC7-4DFE-82CA-2F765C493F76}" name="Column2" headerRowDxfId="610" dataDxfId="609"/>
    <tableColumn id="3" xr3:uid="{94A6AB35-B4F8-4519-8EC8-7CBD0CE90AD2}" name="Column3" headerRowDxfId="608" dataDxfId="607"/>
    <tableColumn id="4" xr3:uid="{8EA5A61E-B007-4737-9138-7097AA5B16E6}" name="Column4" headerRowDxfId="606" dataDxfId="605"/>
    <tableColumn id="5" xr3:uid="{2FA62B92-1DF6-4C8E-A91F-D0969F043F7D}" name="Column5" headerRowDxfId="604" dataDxfId="603"/>
    <tableColumn id="6" xr3:uid="{076E7E12-0639-451F-A5C4-DFA005C75290}" name="Column6" headerRowDxfId="602" dataDxfId="601"/>
    <tableColumn id="7" xr3:uid="{520E4EE0-BDD4-4AD3-9C23-0F8986D306D7}" name="Column7" headerRowDxfId="600" dataDxfId="599"/>
    <tableColumn id="8" xr3:uid="{E9909222-C17D-4D6A-92A1-570DA87A767C}" name="Column8" headerRowDxfId="598" dataDxfId="597"/>
    <tableColumn id="9" xr3:uid="{804C4FA5-5548-4F20-B5D5-149098BA7C56}" name="Column9" headerRowDxfId="596" dataDxfId="595"/>
    <tableColumn id="10" xr3:uid="{6EA32C77-8BFB-40C9-A439-A088C020E9DF}" name="Column10" headerRowDxfId="594" dataDxfId="593"/>
    <tableColumn id="11" xr3:uid="{3E4D0EB1-D6D2-4F86-9453-5BD39C45B309}" name="Column11" headerRowDxfId="592" dataDxfId="591"/>
    <tableColumn id="12" xr3:uid="{AFE169B2-358B-41B5-A9B3-681BA1F5D167}" name="Column12" headerRowDxfId="590" dataDxfId="589"/>
    <tableColumn id="13" xr3:uid="{DFB22278-2106-4A72-AA2D-B5FCD0C10704}" name="Column13" headerRowDxfId="588" dataDxfId="587"/>
    <tableColumn id="14" xr3:uid="{A777C8B2-3EF9-437C-A886-CB9869E6B52E}" name="Column14" headerRowDxfId="586" dataDxfId="585"/>
    <tableColumn id="15" xr3:uid="{23D3B21E-E6A9-42EF-9020-1791DBF597FF}" name="Column15" headerRowDxfId="584" dataDxfId="583"/>
    <tableColumn id="16" xr3:uid="{4C49CF5C-604C-4DC7-BB64-F147EE22B3E5}" name="Column16" headerRowDxfId="582" dataDxfId="581"/>
    <tableColumn id="17" xr3:uid="{6631809A-6F92-4BE3-B6FD-B1306A2D0745}" name="Column17" headerRowDxfId="580" dataDxfId="579"/>
    <tableColumn id="18" xr3:uid="{547A1E04-670C-4E5E-9056-50C4A4B39F79}" name="Column18" headerRowDxfId="578" dataDxfId="577"/>
    <tableColumn id="19" xr3:uid="{3E94908E-82FD-4CF4-81C0-B7D6EAAC8F12}" name="Column19" headerRowDxfId="576" dataDxfId="575"/>
    <tableColumn id="20" xr3:uid="{E948D14E-0B83-49D6-9AC2-6330381C399B}" name="Column20" headerRowDxfId="574" dataDxfId="573"/>
    <tableColumn id="21" xr3:uid="{C6C95923-BCA4-4D08-9411-4A76E6B541AF}" name="Column21" headerRowDxfId="572" dataDxfId="571"/>
    <tableColumn id="22" xr3:uid="{C7666929-19A5-4B3D-8FF4-C006E12239E9}" name="Column22" headerRowDxfId="570" dataDxfId="569"/>
    <tableColumn id="23" xr3:uid="{EFD5FE94-4925-438C-9E1F-168D69201CA8}" name="Column23" headerRowDxfId="568" dataDxfId="567"/>
    <tableColumn id="24" xr3:uid="{2A1BB0CB-68ED-4D50-BBD7-B077E0AF92A1}" name="Column24" headerRowDxfId="566" dataDxfId="565"/>
    <tableColumn id="25" xr3:uid="{2EEB7989-0CE7-4B55-ABB9-3BBDA2DBDE40}" name="Column25" headerRowDxfId="564" dataDxfId="563"/>
    <tableColumn id="26" xr3:uid="{12742DBF-B88A-4757-AF08-BCE382F0B4A8}" name="Column26" headerRowDxfId="562" dataDxfId="561"/>
    <tableColumn id="27" xr3:uid="{F90B900F-3673-42AD-B3CA-01A45269826A}" name="Column27" headerRowDxfId="560" dataDxfId="559"/>
    <tableColumn id="28" xr3:uid="{CA30A480-D865-45E5-8153-7197E6F18007}" name="Column28" headerRowDxfId="558" dataDxfId="557"/>
    <tableColumn id="29" xr3:uid="{7338F80B-118F-4469-BA7C-92790F37F74A}" name="Column29" headerRowDxfId="556" dataDxfId="555"/>
    <tableColumn id="30" xr3:uid="{986058CD-E6B8-4C56-A27B-2DA316FE0F54}" name="Column30" headerRowDxfId="554" dataDxfId="553"/>
    <tableColumn id="31" xr3:uid="{D28824BF-7B15-47AE-B8F7-1C9CEFAC309A}" name="Column31" headerRowDxfId="552" dataDxfId="551"/>
    <tableColumn id="32" xr3:uid="{39BE0317-01E1-427E-9089-519B7D25E4D6}" name="Column32" headerRowDxfId="550" dataDxfId="549"/>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8A72EE-9EA1-4BD6-9211-6F10A95CBE52}" name="Table357911171921" displayName="Table357911171921" ref="A11:AF16" headerRowCount="0" totalsRowShown="0" headerRowDxfId="548" headerRowBorderDxfId="547" tableBorderDxfId="546" totalsRowBorderDxfId="545">
  <tableColumns count="32">
    <tableColumn id="1" xr3:uid="{59B5F7C3-EDDC-44BF-9DF3-C47DC65D3C32}" name="Column1" headerRowDxfId="544" dataDxfId="543"/>
    <tableColumn id="2" xr3:uid="{F5AD19E1-EA64-46A4-8689-423E8D5502DB}" name="Column2" headerRowDxfId="542" dataDxfId="541"/>
    <tableColumn id="3" xr3:uid="{6D22DBC6-3D0B-47DF-A947-50ECCD4C843A}" name="Column3" headerRowDxfId="540" dataDxfId="539"/>
    <tableColumn id="4" xr3:uid="{149646EE-A16F-45E2-B03B-94A4964099BA}" name="Column4" headerRowDxfId="538" dataDxfId="537"/>
    <tableColumn id="5" xr3:uid="{4A19D56F-B970-4152-B03C-E7A198B4B5D4}" name="Column5" headerRowDxfId="536" dataDxfId="535"/>
    <tableColumn id="6" xr3:uid="{659A7579-6053-496F-A6B4-E68C2AAF7593}" name="Column6" headerRowDxfId="534" dataDxfId="533"/>
    <tableColumn id="7" xr3:uid="{5985FF6A-B9B0-4B0F-B850-FF6FC3405DC1}" name="Column7" headerRowDxfId="532" dataDxfId="531"/>
    <tableColumn id="8" xr3:uid="{08DE1E53-3771-4684-9E2D-2E094C9C81D0}" name="Column8" headerRowDxfId="530" dataDxfId="529"/>
    <tableColumn id="9" xr3:uid="{15ADDEF5-988F-4F81-89C0-BB53C1C77A57}" name="Column9" headerRowDxfId="528" dataDxfId="527"/>
    <tableColumn id="10" xr3:uid="{204102C0-51FF-4F5F-BD46-FA596BC5D9F3}" name="Column10" headerRowDxfId="526" dataDxfId="525"/>
    <tableColumn id="11" xr3:uid="{D0CC015A-9B54-4EA5-BB90-2A3B36A53E1F}" name="Column11" headerRowDxfId="524" dataDxfId="523"/>
    <tableColumn id="12" xr3:uid="{F573847D-6D56-4C87-AD8D-7BF4632F5882}" name="Column12" headerRowDxfId="522" dataDxfId="521"/>
    <tableColumn id="13" xr3:uid="{52E668B1-DFC6-4936-B0AF-6D35CE733C8C}" name="Column13" headerRowDxfId="520" dataDxfId="519"/>
    <tableColumn id="14" xr3:uid="{6F62151A-9E1A-455D-99A7-91ACFC69275C}" name="Column14" headerRowDxfId="518" dataDxfId="517"/>
    <tableColumn id="15" xr3:uid="{DC11E066-A63E-4EFD-A439-ECE395DA2EC0}" name="Column15" headerRowDxfId="516" dataDxfId="515"/>
    <tableColumn id="16" xr3:uid="{8A708E44-EDDE-4C2D-B507-A17A60220A2F}" name="Column16" headerRowDxfId="514" dataDxfId="513"/>
    <tableColumn id="17" xr3:uid="{D5AA1D98-F2C5-4B4A-8B33-31847F755B8E}" name="Column17" headerRowDxfId="512" dataDxfId="511"/>
    <tableColumn id="18" xr3:uid="{5436AAD1-46A1-4449-A337-ED0D7BE5E208}" name="Column18" headerRowDxfId="510" dataDxfId="509"/>
    <tableColumn id="19" xr3:uid="{531468CE-7E0E-4341-B657-3D5938F1B195}" name="Column19" headerRowDxfId="508" dataDxfId="507"/>
    <tableColumn id="20" xr3:uid="{F122A455-AEAE-45D3-95D5-733B2C4B75E6}" name="Column20" headerRowDxfId="506" dataDxfId="505"/>
    <tableColumn id="21" xr3:uid="{20A2B9FD-6625-4A2E-A159-FAD80E789791}" name="Column21" headerRowDxfId="504" dataDxfId="503"/>
    <tableColumn id="22" xr3:uid="{FEEE0686-6C39-42D3-B66A-CDEEE7D5054B}" name="Column22" headerRowDxfId="502" dataDxfId="501"/>
    <tableColumn id="23" xr3:uid="{468081D1-B578-43EC-9F39-682968941E73}" name="Column23" headerRowDxfId="500" dataDxfId="499"/>
    <tableColumn id="24" xr3:uid="{2FAF5E01-D8B9-4712-A7F9-6BE891D408C5}" name="Column24" headerRowDxfId="498" dataDxfId="497"/>
    <tableColumn id="25" xr3:uid="{8596B8B5-8925-4B89-A536-1BB934382FA4}" name="Column25" headerRowDxfId="496" dataDxfId="495"/>
    <tableColumn id="26" xr3:uid="{9F77F09E-325A-46DF-A30C-127E29C1123E}" name="Column26" headerRowDxfId="494" dataDxfId="493"/>
    <tableColumn id="27" xr3:uid="{0AB478A2-E4A8-4F93-AB3E-36EC71E8FF84}" name="Column27" headerRowDxfId="492" dataDxfId="491"/>
    <tableColumn id="28" xr3:uid="{39C450E9-0847-44D8-8097-83804AD2C437}" name="Column28" headerRowDxfId="490" dataDxfId="489"/>
    <tableColumn id="29" xr3:uid="{4F7EADA1-21E8-4517-9050-0A369F7B0923}" name="Column29" headerRowDxfId="488" dataDxfId="487"/>
    <tableColumn id="30" xr3:uid="{2A4B0A69-A189-4B9A-BB4F-7415EF64F48C}" name="Column30" headerRowDxfId="486" dataDxfId="485"/>
    <tableColumn id="31" xr3:uid="{6323187E-5328-45D6-A800-AED353A7FCF5}" name="Column31" headerRowDxfId="484" dataDxfId="483"/>
    <tableColumn id="32" xr3:uid="{5BB547B1-43B0-463B-9D94-365DB741AC1F}" name="Column32" headerRowDxfId="482" dataDxfId="481"/>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A9B4495-19A9-4686-B843-759459640C79}" name="Table22681012182022" displayName="Table22681012182022" ref="A7:AN9" headerRowCount="0" totalsRowShown="0" headerRowDxfId="476" headerRowBorderDxfId="475" tableBorderDxfId="474" totalsRowBorderDxfId="473">
  <tableColumns count="40">
    <tableColumn id="1" xr3:uid="{5C289105-E25A-406C-A980-1B73C4C2E546}" name="Column1" headerRowDxfId="472" dataDxfId="471"/>
    <tableColumn id="2" xr3:uid="{684FFE3D-27D8-45D2-8713-45551FD94BB5}" name="Column2" headerRowDxfId="470" dataDxfId="469"/>
    <tableColumn id="3" xr3:uid="{D21A7985-6FE2-4BA9-A687-CA2407E8BFB2}" name="Column3" headerRowDxfId="468" dataDxfId="467"/>
    <tableColumn id="4" xr3:uid="{9C8243CA-B8A4-4995-82AC-F574AE9F4FE0}" name="Column4" headerRowDxfId="466" dataDxfId="465"/>
    <tableColumn id="5" xr3:uid="{493AD37A-BA65-4B66-8966-C76C1FF9DF51}" name="Column5" headerRowDxfId="464" dataDxfId="463"/>
    <tableColumn id="6" xr3:uid="{C950375F-0852-414F-ADFB-02BA0425E5FD}" name="Column6" headerRowDxfId="462" dataDxfId="461"/>
    <tableColumn id="7" xr3:uid="{A2AEF4E4-61BA-426B-92F2-566172E5C30A}" name="Column7" headerRowDxfId="460" dataDxfId="459"/>
    <tableColumn id="8" xr3:uid="{FFDEB1EA-DB56-4194-9AD3-F46BB2FF0B28}" name="Column8" headerRowDxfId="458" dataDxfId="457"/>
    <tableColumn id="9" xr3:uid="{6E0E897E-5FF3-4BF5-9213-9AC8570CCCAD}" name="Column9" headerRowDxfId="456" dataDxfId="455"/>
    <tableColumn id="10" xr3:uid="{901DAEC7-A0CD-40D8-A152-06A9F7CA6B2E}" name="Column10" headerRowDxfId="454" dataDxfId="453"/>
    <tableColumn id="11" xr3:uid="{069E8AB6-1398-42B8-9841-515F5DF0023D}" name="Column11" headerRowDxfId="452" dataDxfId="451"/>
    <tableColumn id="12" xr3:uid="{08707549-D925-4EC8-BC14-BA1725FA7C55}" name="Column12" headerRowDxfId="450" dataDxfId="449"/>
    <tableColumn id="13" xr3:uid="{2BED0CE6-079F-41CF-B017-39BAA70513F4}" name="Column13" headerRowDxfId="448" dataDxfId="447"/>
    <tableColumn id="14" xr3:uid="{5ED2432D-8113-4E6C-B511-77D2CE319AD8}" name="Column14" headerRowDxfId="446" dataDxfId="445"/>
    <tableColumn id="15" xr3:uid="{AB88B47E-6B6E-43CC-BB09-BB90ABDBE10F}" name="Column15" headerRowDxfId="444" dataDxfId="443"/>
    <tableColumn id="16" xr3:uid="{7D1595D6-428E-493B-B12B-5B517AC46302}" name="Column16" headerRowDxfId="442" dataDxfId="441"/>
    <tableColumn id="17" xr3:uid="{D32CE39C-F5A4-48D5-A569-86719B18C312}" name="Column17" headerRowDxfId="440" dataDxfId="439"/>
    <tableColumn id="18" xr3:uid="{1708BF58-5BC8-4B45-8BAE-6458F4DA308B}" name="Column18" headerRowDxfId="438" dataDxfId="437"/>
    <tableColumn id="19" xr3:uid="{D23D26F2-D652-4131-995A-AB44DA9BCB87}" name="Column19" headerRowDxfId="436" dataDxfId="435"/>
    <tableColumn id="20" xr3:uid="{67AD117A-8C51-44C6-94F8-E730F83E71DF}" name="Column20" headerRowDxfId="434" dataDxfId="433"/>
    <tableColumn id="21" xr3:uid="{008C9B2A-3692-44C5-BF07-1140FF53FBFD}" name="Column21" headerRowDxfId="432" dataDxfId="431"/>
    <tableColumn id="22" xr3:uid="{9B954D26-D621-4BA7-9163-EB6C4261B629}" name="Column22" headerRowDxfId="430" dataDxfId="429"/>
    <tableColumn id="23" xr3:uid="{6BEEE2D2-6173-4682-9DE7-A14C7BF29B25}" name="Column23" headerRowDxfId="428" dataDxfId="427"/>
    <tableColumn id="24" xr3:uid="{A6EEA57B-56AC-4986-9EAC-EE32B2C4A21D}" name="Column24" headerRowDxfId="426" dataDxfId="425"/>
    <tableColumn id="25" xr3:uid="{44D220CE-34B6-46EE-B3EF-508D743ADE0D}" name="Column25" headerRowDxfId="424" dataDxfId="423"/>
    <tableColumn id="26" xr3:uid="{2BA2FB66-7801-4339-8E6A-70E0F3D21E16}" name="Column26" headerRowDxfId="422" dataDxfId="421"/>
    <tableColumn id="27" xr3:uid="{DC541C99-0DDC-441A-882F-1E70B83918D8}" name="Column27" headerRowDxfId="420" dataDxfId="419"/>
    <tableColumn id="28" xr3:uid="{A1A55754-3889-4C7F-AD5A-EE88A65D8000}" name="Column28" headerRowDxfId="418" dataDxfId="417"/>
    <tableColumn id="29" xr3:uid="{4DA0D5D6-C9D8-4E98-BEFD-45E759D37277}" name="Column29" headerRowDxfId="416" dataDxfId="415"/>
    <tableColumn id="30" xr3:uid="{3ACB3D40-F83E-40A8-BB1C-0F3ED0C18582}" name="Column30" headerRowDxfId="414" dataDxfId="413"/>
    <tableColumn id="31" xr3:uid="{904E720D-76E9-4520-A59D-5815EB8B32C8}" name="Column31" headerRowDxfId="412" dataDxfId="411"/>
    <tableColumn id="32" xr3:uid="{3C26CD53-55AC-4512-AC38-4C22AC12CD97}" name="Column32" headerRowDxfId="410" dataDxfId="409"/>
    <tableColumn id="33" xr3:uid="{E4B222C1-94FF-4F76-A8B5-6BE7AD1B306C}" name="Column33" headerRowDxfId="408" dataDxfId="407"/>
    <tableColumn id="34" xr3:uid="{5090AFFF-3AB7-43DE-B680-7E834B5CE30D}" name="Column34" headerRowDxfId="406" dataDxfId="405"/>
    <tableColumn id="35" xr3:uid="{6268179A-3A3E-4D64-BC35-A0B772F356A7}" name="Column35" headerRowDxfId="404" dataDxfId="403"/>
    <tableColumn id="36" xr3:uid="{73C24706-C526-49A7-AFAA-CBE0E17FE454}" name="Column36" headerRowDxfId="402" dataDxfId="401"/>
    <tableColumn id="37" xr3:uid="{9F4D7289-C4F2-4730-811D-3DD58E96C4E3}" name="Column37" headerRowDxfId="400" dataDxfId="399"/>
    <tableColumn id="38" xr3:uid="{F8B711AB-F789-4534-87E0-14E0B50B96CC}" name="Column38" headerRowDxfId="398" dataDxfId="397"/>
    <tableColumn id="39" xr3:uid="{4EBAE732-4798-4AD8-BE73-C60D63AD3CB2}" name="Column39" headerRowDxfId="396" dataDxfId="395"/>
    <tableColumn id="40" xr3:uid="{AD02BB30-63CC-45AA-8E09-292EA020656D}" name="Column40" headerRowDxfId="394" dataDxfId="393"/>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1D086E2-62BA-4EEF-B327-3EB0E9588E61}" name="Table35791117192123" displayName="Table35791117192123" ref="A11:AN18" headerRowCount="0" totalsRowShown="0" headerRowDxfId="392" headerRowBorderDxfId="391" tableBorderDxfId="390" totalsRowBorderDxfId="389">
  <tableColumns count="40">
    <tableColumn id="1" xr3:uid="{D1BF096E-BDFC-4998-9262-241212CE6B54}" name="Column1" headerRowDxfId="388" dataDxfId="387"/>
    <tableColumn id="2" xr3:uid="{DC7DF00A-D979-46F5-B444-D1BE1861030A}" name="Column2" headerRowDxfId="386" dataDxfId="385"/>
    <tableColumn id="3" xr3:uid="{4DDACA64-9F49-483A-B33D-0FA3B67D6A47}" name="Column3" headerRowDxfId="384" dataDxfId="383"/>
    <tableColumn id="4" xr3:uid="{BA05FF9C-3D16-465D-8CE8-80128A3DECCE}" name="Column4" headerRowDxfId="382" dataDxfId="381"/>
    <tableColumn id="5" xr3:uid="{250E6694-D0FC-4095-ACFD-543BEA945800}" name="Column5" headerRowDxfId="380" dataDxfId="379"/>
    <tableColumn id="6" xr3:uid="{611283FA-8595-4802-9684-CC4DF0CBCFC1}" name="Column6" headerRowDxfId="378" dataDxfId="377"/>
    <tableColumn id="7" xr3:uid="{1A8F4535-A948-425A-872A-5A0678AD54E1}" name="Column7" headerRowDxfId="376" dataDxfId="375"/>
    <tableColumn id="8" xr3:uid="{BC9A41A8-223C-4D58-BA64-9917D59271DF}" name="Column8" headerRowDxfId="374" dataDxfId="373"/>
    <tableColumn id="9" xr3:uid="{7DF21D33-0836-44E6-84F1-D0E13E141548}" name="Column9" headerRowDxfId="372" dataDxfId="371"/>
    <tableColumn id="10" xr3:uid="{6E23A767-5FF8-4E6C-B26F-C58366588A27}" name="Column10" headerRowDxfId="370" dataDxfId="369"/>
    <tableColumn id="11" xr3:uid="{F05644B2-5BA5-40FF-B686-7C9964A511D8}" name="Column11" headerRowDxfId="368" dataDxfId="367"/>
    <tableColumn id="12" xr3:uid="{6B5C63D7-F79B-416B-9EDF-A8FD70CDD22D}" name="Column12" headerRowDxfId="366" dataDxfId="365"/>
    <tableColumn id="13" xr3:uid="{08066957-38B9-4D96-B65A-CF5E84B2957C}" name="Column13" headerRowDxfId="364" dataDxfId="363"/>
    <tableColumn id="14" xr3:uid="{A3C5F82D-14C8-48AA-8D2C-60D818482879}" name="Column14" headerRowDxfId="362" dataDxfId="361"/>
    <tableColumn id="15" xr3:uid="{0CA9C8F4-BE8E-42AF-BC99-EDDA5FF6D448}" name="Column15" headerRowDxfId="360" dataDxfId="359"/>
    <tableColumn id="16" xr3:uid="{D896D95D-EDB5-4D82-9600-811B5285D3CB}" name="Column16" headerRowDxfId="358" dataDxfId="357"/>
    <tableColumn id="17" xr3:uid="{4FD0D83C-B2D7-4AE3-83E3-6881C57A00AF}" name="Column17" headerRowDxfId="356" dataDxfId="355"/>
    <tableColumn id="18" xr3:uid="{57791D87-FBFC-46C5-917C-F1F96E09CE94}" name="Column18" headerRowDxfId="354" dataDxfId="353"/>
    <tableColumn id="19" xr3:uid="{9530526E-0EB6-4F93-A4FF-FFC7A5D76862}" name="Column19" headerRowDxfId="352" dataDxfId="351"/>
    <tableColumn id="20" xr3:uid="{37218A85-C226-48BE-A01E-AE1E6CE6480B}" name="Column20" headerRowDxfId="350" dataDxfId="349"/>
    <tableColumn id="21" xr3:uid="{9E5B400D-931F-430F-8515-20D775EAC359}" name="Column21" headerRowDxfId="348" dataDxfId="347"/>
    <tableColumn id="22" xr3:uid="{C598C941-C79C-4926-B14D-4F71AC22C946}" name="Column22" headerRowDxfId="346" dataDxfId="345"/>
    <tableColumn id="23" xr3:uid="{5F53D6BD-4E68-40ED-8027-E3EF00A6D1CD}" name="Column23" headerRowDxfId="344" dataDxfId="343"/>
    <tableColumn id="24" xr3:uid="{6251FC37-1CDB-4D9A-8D7F-3110317AC068}" name="Column24" headerRowDxfId="342" dataDxfId="341"/>
    <tableColumn id="25" xr3:uid="{9DEF7346-D7A3-48EC-B466-AC7676919582}" name="Column25" headerRowDxfId="340" dataDxfId="339"/>
    <tableColumn id="26" xr3:uid="{60EA1953-B866-45F9-9D22-480375ADFAC3}" name="Column26" headerRowDxfId="338" dataDxfId="337"/>
    <tableColumn id="27" xr3:uid="{96C813F0-B234-445F-946C-2672288DE435}" name="Column27" headerRowDxfId="336" dataDxfId="335"/>
    <tableColumn id="28" xr3:uid="{FE96ED00-2171-4AE3-83B5-EEBB5E545E18}" name="Column28" headerRowDxfId="334" dataDxfId="333"/>
    <tableColumn id="29" xr3:uid="{86D89BB0-BA06-4B4D-81E4-C8AA937C83F3}" name="Column29" headerRowDxfId="332" dataDxfId="331"/>
    <tableColumn id="30" xr3:uid="{021E7FFF-782D-48B8-AF5E-DCDFB9CDB919}" name="Column30" headerRowDxfId="330" dataDxfId="329"/>
    <tableColumn id="31" xr3:uid="{A8276BBC-C068-4057-9E4F-02CD3B4E2BDA}" name="Column31" headerRowDxfId="328" dataDxfId="327"/>
    <tableColumn id="32" xr3:uid="{4D16280A-A45A-48C7-B15C-B65E3A7124EF}" name="Column32" headerRowDxfId="326" dataDxfId="325"/>
    <tableColumn id="33" xr3:uid="{A98D9F63-5C2B-4516-80F5-47AAF0B00B78}" name="Column33" headerRowDxfId="324" dataDxfId="323"/>
    <tableColumn id="34" xr3:uid="{DDFC4337-1A8F-4956-8A7A-E5DEE948899F}" name="Column34" headerRowDxfId="322" dataDxfId="321"/>
    <tableColumn id="35" xr3:uid="{7195C483-1D6B-4F41-9ECD-64B2A7B83D49}" name="Column35" headerRowDxfId="320" dataDxfId="319"/>
    <tableColumn id="36" xr3:uid="{B6E48B4C-9DC6-4BF0-85C4-6224C929D5C4}" name="Column36" headerRowDxfId="318" dataDxfId="317"/>
    <tableColumn id="37" xr3:uid="{24D492CD-DDF7-427D-99A1-AAA316006669}" name="Column37" headerRowDxfId="316" dataDxfId="315"/>
    <tableColumn id="38" xr3:uid="{52D778FD-A2FD-4C82-94F7-93121BBD1D3E}" name="Column38" headerRowDxfId="314" dataDxfId="313"/>
    <tableColumn id="39" xr3:uid="{A365194B-C0EB-4609-91E9-2F52093860C0}" name="Column39" headerRowDxfId="312" dataDxfId="311"/>
    <tableColumn id="40" xr3:uid="{0B7D090F-8A99-4BED-B8E4-31B0004AFDF2}" name="Column40" headerRowDxfId="310" dataDxfId="309"/>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3AB800A-27C4-4AAA-A6F6-7589C1A45038}" name="Table2268101218202224" displayName="Table2268101218202224" ref="A7:AN9" headerRowCount="0" totalsRowShown="0" headerRowDxfId="304" headerRowBorderDxfId="303" tableBorderDxfId="302" totalsRowBorderDxfId="301">
  <tableColumns count="40">
    <tableColumn id="1" xr3:uid="{595883E9-2F2D-457B-820C-833BA9F31194}" name="Column1" headerRowDxfId="300" dataDxfId="299"/>
    <tableColumn id="2" xr3:uid="{9C963B5F-CB5B-4DF6-952A-A3873423AF9C}" name="Column2" headerRowDxfId="298" dataDxfId="297"/>
    <tableColumn id="3" xr3:uid="{99803942-0309-415F-BC2E-B30CADA12501}" name="Column3" headerRowDxfId="296" dataDxfId="295"/>
    <tableColumn id="4" xr3:uid="{F2D3786F-1EBE-4710-9AF2-C176DCD75A09}" name="Column4" headerRowDxfId="294" dataDxfId="293"/>
    <tableColumn id="5" xr3:uid="{9690D0BE-ECCB-4FBC-A776-8AE8D83B95D4}" name="Column5" headerRowDxfId="292" dataDxfId="291"/>
    <tableColumn id="6" xr3:uid="{8C0E2F86-661B-4997-8147-A5B17AE5DA15}" name="Column6" headerRowDxfId="290" dataDxfId="289"/>
    <tableColumn id="7" xr3:uid="{119360EA-A4C3-4CE6-B9A1-0ABF376CD237}" name="Column7" headerRowDxfId="288" dataDxfId="287"/>
    <tableColumn id="8" xr3:uid="{A07AE54C-B761-48A3-968F-034AC83FB467}" name="Column8" headerRowDxfId="286" dataDxfId="285"/>
    <tableColumn id="9" xr3:uid="{6E0D5085-E28B-45C8-95BB-521BE5EDA2A6}" name="Column9" headerRowDxfId="284" dataDxfId="283"/>
    <tableColumn id="10" xr3:uid="{689C029E-6616-4CC2-AE1C-2ADCD03C3CAD}" name="Column10" headerRowDxfId="282" dataDxfId="281"/>
    <tableColumn id="11" xr3:uid="{0F652E99-1E2E-4EFC-B71E-3325DA891A2A}" name="Column11" headerRowDxfId="280" dataDxfId="279"/>
    <tableColumn id="12" xr3:uid="{FC548D10-DB84-4AA2-8F97-8FBCD596A21D}" name="Column12" headerRowDxfId="278" dataDxfId="277"/>
    <tableColumn id="13" xr3:uid="{7E1567BD-2E51-4623-B319-ABA4485BED6B}" name="Column13" headerRowDxfId="276" dataDxfId="275"/>
    <tableColumn id="14" xr3:uid="{F7ACC9C7-D4FA-4A3F-91E3-5ABC2BC30C53}" name="Column14" headerRowDxfId="274" dataDxfId="273"/>
    <tableColumn id="15" xr3:uid="{23F754AF-75E4-434C-B0F6-EACDB1C6FEF6}" name="Column15" headerRowDxfId="272" dataDxfId="271"/>
    <tableColumn id="16" xr3:uid="{A8B43F52-1640-4F3A-AE0C-2DCC908D5A16}" name="Column16" headerRowDxfId="270" dataDxfId="269"/>
    <tableColumn id="17" xr3:uid="{E18C66EC-343A-4EAE-AF41-92A444D0F2F2}" name="Column17" headerRowDxfId="268" dataDxfId="267"/>
    <tableColumn id="18" xr3:uid="{0D6251B0-1259-43B7-86B8-AF9F04B82FDD}" name="Column18" headerRowDxfId="266" dataDxfId="265"/>
    <tableColumn id="19" xr3:uid="{F4B6B5DE-7296-4BD4-ADE2-71E9684C9F56}" name="Column19" headerRowDxfId="264" dataDxfId="263"/>
    <tableColumn id="20" xr3:uid="{B69CA411-BC7A-4A34-BA8C-3402AE8FA3C9}" name="Column20" headerRowDxfId="262" dataDxfId="261"/>
    <tableColumn id="21" xr3:uid="{69ABDE12-BC7B-46B9-A0EC-58FBB9F86725}" name="Column21" headerRowDxfId="260" dataDxfId="259"/>
    <tableColumn id="22" xr3:uid="{41727EE0-B315-48DD-A049-490FF591A845}" name="Column22" headerRowDxfId="258" dataDxfId="257"/>
    <tableColumn id="23" xr3:uid="{7EE58D77-71B7-4342-BD9C-D858F6AEB13A}" name="Column23" headerRowDxfId="256" dataDxfId="255"/>
    <tableColumn id="24" xr3:uid="{E916D199-312C-41BA-AA78-D382A64F30E4}" name="Column24" headerRowDxfId="254" dataDxfId="253"/>
    <tableColumn id="25" xr3:uid="{F543FF99-F068-4538-BCA0-3BECDBD5DDFC}" name="Column25" headerRowDxfId="252" dataDxfId="251"/>
    <tableColumn id="26" xr3:uid="{7A66FED6-D07B-4212-B028-327EFE00EB04}" name="Column26" headerRowDxfId="250" dataDxfId="249"/>
    <tableColumn id="27" xr3:uid="{FB0C9B54-E20C-488B-A322-DEC8AC3497E8}" name="Column27" headerRowDxfId="248" dataDxfId="247"/>
    <tableColumn id="28" xr3:uid="{BE2DC478-EBE6-452C-B16E-9C4D39C070A2}" name="Column28" headerRowDxfId="246" dataDxfId="245"/>
    <tableColumn id="29" xr3:uid="{6DA826F6-A6B7-418D-B0EC-E22F0FD90144}" name="Column29" headerRowDxfId="244" dataDxfId="243"/>
    <tableColumn id="30" xr3:uid="{E93198AC-4F0A-4F67-B2E7-10223BC9FCEE}" name="Column30" headerRowDxfId="242" dataDxfId="241"/>
    <tableColumn id="31" xr3:uid="{A960027C-D973-417D-A642-10BDF7CC6580}" name="Column31" headerRowDxfId="240" dataDxfId="239"/>
    <tableColumn id="32" xr3:uid="{E95D924F-CC74-4CAC-B6D1-ADBDC56654F3}" name="Column32" headerRowDxfId="238" dataDxfId="237"/>
    <tableColumn id="33" xr3:uid="{8AF9B9A3-2AEE-4A1D-A18F-9156CF088A98}" name="Column33" headerRowDxfId="236" dataDxfId="235"/>
    <tableColumn id="34" xr3:uid="{3DFD2CA0-6199-43D0-BF33-C07D2248E86D}" name="Column34" headerRowDxfId="234" dataDxfId="233"/>
    <tableColumn id="35" xr3:uid="{9A96C481-BFDC-4C9E-AFFD-F1A7C03F8761}" name="Column35" headerRowDxfId="232" dataDxfId="231"/>
    <tableColumn id="36" xr3:uid="{3C4DC86D-BE5D-427A-AA32-D5C016B51C90}" name="Column36" headerRowDxfId="230" dataDxfId="229"/>
    <tableColumn id="37" xr3:uid="{4E2D6CCA-6ABB-424D-97AE-C140BECA00F8}" name="Column37" headerRowDxfId="228" dataDxfId="227"/>
    <tableColumn id="38" xr3:uid="{1232EB0F-9364-4307-BCE3-12B89E5E8F16}" name="Column38" headerRowDxfId="226" dataDxfId="225"/>
    <tableColumn id="39" xr3:uid="{E0FBC64B-D04C-42E4-9852-E7CBFE2D9675}" name="Column39" headerRowDxfId="224" dataDxfId="223"/>
    <tableColumn id="40" xr3:uid="{0B1D817B-8236-4286-A17E-F7D306160C51}" name="Column40" headerRowDxfId="222" dataDxfId="221"/>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AJ16" headerRowCount="0" totalsRowShown="0">
  <tableColumns count="36">
    <tableColumn id="1" xr3:uid="{00000000-0010-0000-0100-000001000000}" name="Column1" headerRowDxfId="1543"/>
    <tableColumn id="2" xr3:uid="{00000000-0010-0000-0100-000002000000}" name="Column2" headerRowDxfId="1542" dataDxfId="1541"/>
    <tableColumn id="3" xr3:uid="{00000000-0010-0000-0100-000003000000}" name="Column3" headerRowDxfId="1540" dataDxfId="1539"/>
    <tableColumn id="4" xr3:uid="{00000000-0010-0000-0100-000004000000}" name="Column4" headerRowDxfId="1538" dataDxfId="1537"/>
    <tableColumn id="5" xr3:uid="{00000000-0010-0000-0100-000005000000}" name="Column5" headerRowDxfId="1536" dataDxfId="1535"/>
    <tableColumn id="6" xr3:uid="{00000000-0010-0000-0100-000006000000}" name="Column6" headerRowDxfId="1534" dataDxfId="1533"/>
    <tableColumn id="7" xr3:uid="{00000000-0010-0000-0100-000007000000}" name="Column7" headerRowDxfId="1532" dataDxfId="1531"/>
    <tableColumn id="8" xr3:uid="{00000000-0010-0000-0100-000008000000}" name="Column8" headerRowDxfId="1530" dataDxfId="1529"/>
    <tableColumn id="9" xr3:uid="{00000000-0010-0000-0100-000009000000}" name="Column9" headerRowDxfId="1528" dataDxfId="1527"/>
    <tableColumn id="10" xr3:uid="{00000000-0010-0000-0100-00000A000000}" name="Column10" headerRowDxfId="1526" dataDxfId="1525"/>
    <tableColumn id="11" xr3:uid="{00000000-0010-0000-0100-00000B000000}" name="Column11" headerRowDxfId="1524" dataDxfId="1523"/>
    <tableColumn id="12" xr3:uid="{1798D73F-75DE-49CD-9006-D0471FF15A14}" name="Column12" headerRowDxfId="1522"/>
    <tableColumn id="13" xr3:uid="{5938F776-D7D6-46AA-A3DA-A70F6157015F}" name="Column13" headerRowDxfId="1521"/>
    <tableColumn id="14" xr3:uid="{5CF90A77-EF18-4811-A76A-85F4977DB067}" name="Column14" headerRowDxfId="1520"/>
    <tableColumn id="15" xr3:uid="{D1EC96DF-3608-4613-84AC-431FE2B50876}" name="Column15" headerRowDxfId="1519"/>
    <tableColumn id="16" xr3:uid="{311E09C0-9265-45E6-A95E-C2ACF52957ED}" name="Column16" headerRowDxfId="1518"/>
    <tableColumn id="17" xr3:uid="{21462F37-D4BA-414B-9B83-DA2ED7BA6C18}" name="Column17" headerRowDxfId="1517"/>
    <tableColumn id="18" xr3:uid="{60ED281B-FE44-4978-BFB0-C535C6351218}" name="Column18" headerRowDxfId="1516"/>
    <tableColumn id="19" xr3:uid="{4263F2DB-4CCC-4D18-8C53-0FE4750744C8}" name="Column19" headerRowDxfId="1515"/>
    <tableColumn id="20" xr3:uid="{9A300D00-AC69-49E1-B365-5DE61F5078A6}" name="Column20" headerRowDxfId="1514"/>
    <tableColumn id="21" xr3:uid="{6735D3C2-CDAF-416A-9E47-0FACB8A38DA5}" name="Column21" headerRowDxfId="1513"/>
    <tableColumn id="22" xr3:uid="{DB223A85-7300-4A72-AF79-BB6C725CC45A}" name="Column22" headerRowDxfId="1512"/>
    <tableColumn id="23" xr3:uid="{07289B38-5F7F-4A28-96D9-7213F6F1A745}" name="Column23" headerRowDxfId="1511"/>
    <tableColumn id="24" xr3:uid="{3F4AAC35-E5EA-4B31-897F-CF536089A448}" name="Column24" headerRowDxfId="1510"/>
    <tableColumn id="25" xr3:uid="{0BDC16A0-2F69-4A6C-A230-864561DCDD67}" name="Column25" headerRowDxfId="1509"/>
    <tableColumn id="26" xr3:uid="{E931376C-6947-4D14-90BF-BC7C69EA3AEA}" name="Column26" headerRowDxfId="1508"/>
    <tableColumn id="27" xr3:uid="{11C444D7-F1A2-4EF6-924A-BA8FC0A02043}" name="Column27" headerRowDxfId="1507"/>
    <tableColumn id="28" xr3:uid="{093D055C-9A59-4E05-A1BC-6A33E3FC1707}" name="Column28" headerRowDxfId="1506"/>
    <tableColumn id="29" xr3:uid="{3CD2AEA2-1968-4DB5-AB30-FC2717A32CF7}" name="Column29" headerRowDxfId="1505"/>
    <tableColumn id="30" xr3:uid="{5E94DA8D-52FB-4013-B637-5C97FC7C4007}" name="Column30" headerRowDxfId="1504"/>
    <tableColumn id="31" xr3:uid="{50CAB995-DB84-4DF9-80A0-F29D3B60DABA}" name="Column31" headerRowDxfId="1503"/>
    <tableColumn id="32" xr3:uid="{36346C77-C2E8-4504-9970-6580305C3201}" name="Column32" headerRowDxfId="1502"/>
    <tableColumn id="33" xr3:uid="{0351EAEC-A67D-43DE-BAC5-7489747772A9}" name="Column33" headerRowDxfId="1501"/>
    <tableColumn id="34" xr3:uid="{09B1B0D7-144E-4E0E-B803-2CD3048611B4}" name="Column34" headerRowDxfId="1500"/>
    <tableColumn id="35" xr3:uid="{73122A34-6A27-4FF6-B6FE-7EC9AE0BECA1}" name="Column35" headerRowDxfId="1499"/>
    <tableColumn id="36" xr3:uid="{7C821AE3-EFBF-4E96-8ADC-8F8C3A1BF30C}" name="Column36" headerRowDxfId="1498"/>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F7AD0C7-4373-4D14-8368-0FFDAF5DE915}" name="Table3579111719212325" displayName="Table3579111719212325" ref="A11:AN18" headerRowCount="0" totalsRowShown="0">
  <tableColumns count="40">
    <tableColumn id="1" xr3:uid="{E8EAAA2C-4A7D-4B48-9667-C4B3FB550318}" name="Column1" headerRowDxfId="220" dataDxfId="219"/>
    <tableColumn id="2" xr3:uid="{9A21B5A7-8CB7-4C8D-B16F-A0364E2F1DBB}" name="Column2" headerRowDxfId="218" dataDxfId="217"/>
    <tableColumn id="3" xr3:uid="{15DF3C9A-4829-43D5-84C9-B5E221309193}" name="Column3" headerRowDxfId="216" dataDxfId="215"/>
    <tableColumn id="4" xr3:uid="{2EC9AEDC-C531-48CB-BAA6-3FE782741EA1}" name="Column4" headerRowDxfId="214" dataDxfId="213"/>
    <tableColumn id="5" xr3:uid="{D297B319-9AA7-4589-A0F5-84A15335CD7B}" name="Column5" headerRowDxfId="212" dataDxfId="211"/>
    <tableColumn id="6" xr3:uid="{A2649E75-A851-4E58-95D6-C9E4AE09FF0A}" name="Column6" headerRowDxfId="210" dataDxfId="209"/>
    <tableColumn id="7" xr3:uid="{41C7DC1B-A858-4C2F-95B0-F473B835830C}" name="Column7" headerRowDxfId="208" dataDxfId="207"/>
    <tableColumn id="8" xr3:uid="{E68560D8-F6DE-4D64-9BFB-98B1DB77B4E2}" name="Column8" headerRowDxfId="206" dataDxfId="205"/>
    <tableColumn id="9" xr3:uid="{5D0071A0-B604-41E2-AC35-CC34807C49E8}" name="Column9" headerRowDxfId="204" dataDxfId="203"/>
    <tableColumn id="10" xr3:uid="{64FA6661-6EE5-4B70-B5AF-1CA08BA5A4E1}" name="Column10" headerRowDxfId="202" dataDxfId="201"/>
    <tableColumn id="11" xr3:uid="{8C61F992-1B32-416B-B6B6-D2254B0544F0}" name="Column11" headerRowDxfId="200" dataDxfId="199"/>
    <tableColumn id="12" xr3:uid="{433CF125-954D-4C91-8A8E-223389A0AFFF}" name="Column12" headerRowDxfId="198" dataDxfId="197"/>
    <tableColumn id="13" xr3:uid="{5B7F2505-2B2A-4498-970C-EBBCB635B82C}" name="Column13" headerRowDxfId="196" dataDxfId="195"/>
    <tableColumn id="14" xr3:uid="{78864EEC-C70D-4573-B63F-96D2525A0181}" name="Column14" headerRowDxfId="194" dataDxfId="193"/>
    <tableColumn id="15" xr3:uid="{4124815E-0E9C-4356-9FE2-885467A21E09}" name="Column15" headerRowDxfId="192" dataDxfId="191"/>
    <tableColumn id="16" xr3:uid="{C81C9345-61AF-4E81-B089-944ABB0360C9}" name="Column16" headerRowDxfId="190" dataDxfId="189"/>
    <tableColumn id="17" xr3:uid="{E836DC34-B34D-491A-AB83-6EDC1E67CBBF}" name="Column17" headerRowDxfId="188" dataDxfId="187"/>
    <tableColumn id="18" xr3:uid="{EF2B1D5D-769B-41F3-9238-9C4D6F965EE5}" name="Column18" headerRowDxfId="186" dataDxfId="185"/>
    <tableColumn id="19" xr3:uid="{8825B513-2F7F-459D-A0ED-4520AE143D94}" name="Column19" headerRowDxfId="184" dataDxfId="183"/>
    <tableColumn id="20" xr3:uid="{5C48B0FB-CFE6-4DD2-98FA-89004BA1034C}" name="Column20" headerRowDxfId="182" dataDxfId="181"/>
    <tableColumn id="21" xr3:uid="{070057D8-9E4F-4241-A20D-2533E32A6DDE}" name="Column21" headerRowDxfId="180" dataDxfId="179"/>
    <tableColumn id="22" xr3:uid="{0C5C1F1B-B996-4AA6-96E8-03FCFAC92B7D}" name="Column22" headerRowDxfId="178" dataDxfId="177"/>
    <tableColumn id="23" xr3:uid="{F576C4F0-DC71-4FA5-B5F3-44F83DD135CC}" name="Column23" headerRowDxfId="176" dataDxfId="175"/>
    <tableColumn id="24" xr3:uid="{1BE0E3B2-5BB2-4BA8-A3FE-570D8DCD7A0C}" name="Column24" headerRowDxfId="174" dataDxfId="173"/>
    <tableColumn id="25" xr3:uid="{37037B3C-9277-4806-A5FE-47841E7549B9}" name="Column25" headerRowDxfId="172" dataDxfId="171"/>
    <tableColumn id="26" xr3:uid="{A96C22C5-C2B9-4CF4-A12E-5AD604C9B5CD}" name="Column26" headerRowDxfId="170" dataDxfId="169"/>
    <tableColumn id="27" xr3:uid="{3826DD43-5AB8-4185-B059-CBC636D33DC6}" name="Column27" headerRowDxfId="168" dataDxfId="167"/>
    <tableColumn id="28" xr3:uid="{24C04DD0-14EF-4242-BA06-7649303C711D}" name="Column28" headerRowDxfId="166" dataDxfId="165"/>
    <tableColumn id="29" xr3:uid="{57B9901C-C9CC-4572-875B-523208208CE6}" name="Column29" headerRowDxfId="164" dataDxfId="163"/>
    <tableColumn id="30" xr3:uid="{434CA759-57A3-4E17-89AA-C36CD3F89116}" name="Column30" headerRowDxfId="162" dataDxfId="161"/>
    <tableColumn id="31" xr3:uid="{52E92728-6BCD-46D3-874C-B1826535AB84}" name="Column31" headerRowDxfId="160" dataDxfId="159"/>
    <tableColumn id="32" xr3:uid="{1AD5A23B-2EEC-4680-BD18-DCA046EF3789}" name="Column32" headerRowDxfId="158" dataDxfId="157"/>
    <tableColumn id="33" xr3:uid="{044C1D20-E8D3-4E87-89FF-048DD5D66F7C}" name="Column33" headerRowDxfId="156" dataDxfId="155"/>
    <tableColumn id="34" xr3:uid="{390C2705-15C9-4B25-AC8A-963DB3BA383C}" name="Column34" headerRowDxfId="154" dataDxfId="153"/>
    <tableColumn id="35" xr3:uid="{D18EA1E7-9931-4884-93F1-A84C7F7FABCA}" name="Column35" headerRowDxfId="152" dataDxfId="151"/>
    <tableColumn id="36" xr3:uid="{590DB3E6-D5C3-4150-9F78-B5B65862DA9C}" name="Column36" headerRowDxfId="150" dataDxfId="149"/>
    <tableColumn id="37" xr3:uid="{2EF21418-0516-4216-83D1-4AB983088EA6}" name="Column37" headerRowDxfId="148" dataDxfId="147"/>
    <tableColumn id="38" xr3:uid="{FE798EFF-038D-4DA6-A67E-C4659EA83A0F}" name="Column38" headerRowDxfId="146" dataDxfId="145"/>
    <tableColumn id="39" xr3:uid="{B6995559-03B6-467A-904E-B3E0E662C4FE}" name="Column39" headerRowDxfId="144" dataDxfId="143"/>
    <tableColumn id="40" xr3:uid="{7FD5B3EE-1193-4895-8B4E-8D179893DF3D}" name="Column40" headerRowDxfId="142" dataDxfId="141"/>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AC9" headerRowCount="0" totalsRowShown="0" headerRowDxfId="137" headerRowBorderDxfId="136" tableBorderDxfId="135" totalsRowBorderDxfId="134">
  <tableColumns count="29">
    <tableColumn id="1" xr3:uid="{00000000-0010-0000-0200-000001000000}" name="Column1" headerRowDxfId="133" dataDxfId="132"/>
    <tableColumn id="2" xr3:uid="{00000000-0010-0000-0200-000002000000}" name="Column2" headerRowDxfId="131" dataDxfId="130"/>
    <tableColumn id="3" xr3:uid="{00000000-0010-0000-0200-000003000000}" name="Column3" headerRowDxfId="129" dataDxfId="128"/>
    <tableColumn id="4" xr3:uid="{00000000-0010-0000-0200-000004000000}" name="Column4" headerRowDxfId="127" dataDxfId="126"/>
    <tableColumn id="5" xr3:uid="{00000000-0010-0000-0200-000005000000}" name="Column5" headerRowDxfId="125" dataDxfId="124"/>
    <tableColumn id="6" xr3:uid="{00000000-0010-0000-0200-000006000000}" name="Column6" headerRowDxfId="123" dataDxfId="122"/>
    <tableColumn id="7" xr3:uid="{00000000-0010-0000-0200-000007000000}" name="Column7" headerRowDxfId="121" dataDxfId="120"/>
    <tableColumn id="8" xr3:uid="{00000000-0010-0000-0200-000008000000}" name="Column8" headerRowDxfId="119" dataDxfId="118"/>
    <tableColumn id="9" xr3:uid="{00000000-0010-0000-0200-000009000000}" name="Column9" headerRowDxfId="117" dataDxfId="116"/>
    <tableColumn id="10" xr3:uid="{00000000-0010-0000-0200-00000A000000}" name="Column10" headerRowDxfId="115" dataDxfId="114"/>
    <tableColumn id="11" xr3:uid="{00000000-0010-0000-0200-00000B000000}" name="Column11" headerRowDxfId="113" dataDxfId="112"/>
    <tableColumn id="12" xr3:uid="{B76770C9-8A73-4071-B5AB-9739DE9E6E53}" name="Column12" headerRowDxfId="111" dataDxfId="110"/>
    <tableColumn id="13" xr3:uid="{9407FD3D-1ED9-4CF2-9C96-47B158551D4F}" name="Column13" headerRowDxfId="109" dataDxfId="108"/>
    <tableColumn id="14" xr3:uid="{18E5C969-37AD-4346-8D28-976E59E80C07}" name="Column14" headerRowDxfId="107" dataDxfId="106"/>
    <tableColumn id="15" xr3:uid="{3E187A63-20B7-41A2-9B1D-16C22D688C5C}" name="Column15" headerRowDxfId="105" dataDxfId="104"/>
    <tableColumn id="16" xr3:uid="{9992F048-4C5F-41DA-872C-023DE5476D42}" name="Column16" headerRowDxfId="103" dataDxfId="102"/>
    <tableColumn id="17" xr3:uid="{B6BEBF6D-DC1A-4CF1-9B11-503A7D21E49E}" name="Column17" headerRowDxfId="101" dataDxfId="100"/>
    <tableColumn id="18" xr3:uid="{17A7FF4C-AF07-4070-B542-9AF68EE0E886}" name="Column18" headerRowDxfId="99" dataDxfId="98"/>
    <tableColumn id="19" xr3:uid="{219A7EFD-93B1-4925-85E2-726D3B4C79CB}" name="Column19" headerRowDxfId="97" dataDxfId="96"/>
    <tableColumn id="20" xr3:uid="{1A4D9F57-4746-4190-8584-9542322C513E}" name="Column20" headerRowDxfId="95" dataDxfId="94"/>
    <tableColumn id="21" xr3:uid="{BC713DC2-71B0-4E62-AD1D-E803CDDA182C}" name="Column21" headerRowDxfId="93" dataDxfId="92"/>
    <tableColumn id="22" xr3:uid="{42BA8F2B-D832-4F5B-A791-6C3472E4774A}" name="Column22" headerRowDxfId="91" dataDxfId="90"/>
    <tableColumn id="23" xr3:uid="{00CDE55D-044B-4D3C-AD52-03E325594BAD}" name="Column23" headerRowDxfId="89" dataDxfId="88"/>
    <tableColumn id="24" xr3:uid="{4E46382F-B40F-4C68-BB97-862AD8AE208B}" name="Column24" headerRowDxfId="87" dataDxfId="86"/>
    <tableColumn id="25" xr3:uid="{E9A50675-E456-46A4-ADBE-82BDF63F7AC4}" name="Column25" headerRowDxfId="85" dataDxfId="84"/>
    <tableColumn id="26" xr3:uid="{D50F41FE-24A9-4D60-9301-F76B16FDD5D3}" name="Column26" headerRowDxfId="83" dataDxfId="82"/>
    <tableColumn id="27" xr3:uid="{192620EF-27DB-4BD5-A8FB-BF791B255995}" name="Column27" headerRowDxfId="81" dataDxfId="80"/>
    <tableColumn id="28" xr3:uid="{DB28DA1B-23E0-4680-BB13-1D0D3C31ABB7}" name="Column28" headerRowDxfId="79" dataDxfId="78"/>
    <tableColumn id="29" xr3:uid="{65331BF4-B850-4185-9EEC-543907990B11}" name="Column29" headerRowDxfId="77" dataDxfId="76"/>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AC15" headerRowCount="0" totalsRowShown="0" headerRowDxfId="75" headerRowBorderDxfId="74" tableBorderDxfId="73" totalsRowBorderDxfId="72">
  <tableColumns count="29">
    <tableColumn id="1" xr3:uid="{00000000-0010-0000-0300-000001000000}" name="Column1" headerRowDxfId="71" dataDxfId="70"/>
    <tableColumn id="2" xr3:uid="{00000000-0010-0000-0300-000002000000}" name="Column2" headerRowDxfId="69" dataDxfId="68"/>
    <tableColumn id="3" xr3:uid="{00000000-0010-0000-0300-000003000000}" name="Column3" headerRowDxfId="67" dataDxfId="66"/>
    <tableColumn id="4" xr3:uid="{00000000-0010-0000-0300-000004000000}" name="Column4" headerRowDxfId="65" dataDxfId="64"/>
    <tableColumn id="5" xr3:uid="{00000000-0010-0000-0300-000005000000}" name="Column5" headerRowDxfId="63" dataDxfId="62"/>
    <tableColumn id="6" xr3:uid="{00000000-0010-0000-0300-000006000000}" name="Column6" headerRowDxfId="61" dataDxfId="60"/>
    <tableColumn id="7" xr3:uid="{00000000-0010-0000-0300-000007000000}" name="Column7" headerRowDxfId="59" dataDxfId="58"/>
    <tableColumn id="8" xr3:uid="{00000000-0010-0000-0300-000008000000}" name="Column8" headerRowDxfId="57" dataDxfId="56"/>
    <tableColumn id="9" xr3:uid="{00000000-0010-0000-0300-000009000000}" name="Column9" headerRowDxfId="55" dataDxfId="54"/>
    <tableColumn id="10" xr3:uid="{00000000-0010-0000-0300-00000A000000}" name="Column10" headerRowDxfId="53" dataDxfId="52"/>
    <tableColumn id="11" xr3:uid="{00000000-0010-0000-0300-00000B000000}" name="Column11" headerRowDxfId="51" dataDxfId="50"/>
    <tableColumn id="12" xr3:uid="{12A0B4D3-426F-4EDF-BEAC-CAB27CD35057}" name="Column12" headerRowDxfId="49" dataDxfId="48"/>
    <tableColumn id="13" xr3:uid="{F82E77A8-D69F-48EF-BF57-AF007608D2A4}" name="Column13" headerRowDxfId="47" dataDxfId="46"/>
    <tableColumn id="14" xr3:uid="{EEEACC1E-5656-4AF5-9A9E-C032CF307FA9}" name="Column14" headerRowDxfId="45" dataDxfId="44"/>
    <tableColumn id="15" xr3:uid="{6EC3664D-ABBE-4509-8C50-2C759189D029}" name="Column15" headerRowDxfId="43" dataDxfId="42"/>
    <tableColumn id="16" xr3:uid="{009118EB-66F1-4F78-8A92-0B1C683CAAE5}" name="Column16" headerRowDxfId="41" dataDxfId="40"/>
    <tableColumn id="17" xr3:uid="{79D82313-BBCD-41B7-AE1D-450199680B78}" name="Column17" headerRowDxfId="39" dataDxfId="38"/>
    <tableColumn id="18" xr3:uid="{DFF5E361-8D39-4239-B385-5B8AFC063BC5}" name="Column18" headerRowDxfId="37" dataDxfId="36"/>
    <tableColumn id="19" xr3:uid="{37FBA543-A1DE-4379-9A2D-1ED9813C848C}" name="Column19" headerRowDxfId="35" dataDxfId="34"/>
    <tableColumn id="20" xr3:uid="{BEA3CC88-7D34-45FE-987A-5658C4C01CC8}" name="Column20" headerRowDxfId="33" dataDxfId="32"/>
    <tableColumn id="21" xr3:uid="{882A2C68-F6B4-4B27-9C93-3FB7C5303388}" name="Column21" headerRowDxfId="31" dataDxfId="30"/>
    <tableColumn id="22" xr3:uid="{1DB9926D-D6D4-4F10-9CA0-E01CAE8B154C}" name="Column22" headerRowDxfId="29" dataDxfId="28"/>
    <tableColumn id="23" xr3:uid="{E3A44965-1DD5-4FB9-B5DB-88EEC3BA7151}" name="Column23" headerRowDxfId="27" dataDxfId="26"/>
    <tableColumn id="24" xr3:uid="{24CE25FF-110C-4C34-A7ED-A244022BC354}" name="Column24" headerRowDxfId="25" dataDxfId="24"/>
    <tableColumn id="25" xr3:uid="{8F3B74AC-E5EF-4F78-9B72-B4ABF2AF10D5}" name="Column25" headerRowDxfId="23" dataDxfId="22"/>
    <tableColumn id="26" xr3:uid="{3242DEC9-9BFB-4E7A-BB3B-E1D0B7B75FF6}" name="Column26" headerRowDxfId="21" dataDxfId="20"/>
    <tableColumn id="27" xr3:uid="{7C834568-E1FE-48A2-801C-8FEFDD321AC2}" name="Column27" headerRowDxfId="19" dataDxfId="18"/>
    <tableColumn id="28" xr3:uid="{6D5F4482-A86A-4FF5-9262-26BC7C4B5EF3}" name="Column28" headerRowDxfId="17" dataDxfId="16"/>
    <tableColumn id="29" xr3:uid="{10B3A757-CC5F-41A8-A48D-92720B98172E}" name="Column29" headerRowDxfId="15" dataDxfId="14"/>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4663C9A-0199-432C-8C07-F03327024315}" name="Table14" displayName="Table14" ref="A1:C14" totalsRowShown="0" headerRowDxfId="13" headerRowBorderDxfId="12" tableBorderDxfId="11" totalsRowBorderDxfId="10">
  <autoFilter ref="A1:C14" xr:uid="{00000000-0009-0000-0100-00000E000000}">
    <filterColumn colId="0" hiddenButton="1"/>
    <filterColumn colId="1" hiddenButton="1"/>
    <filterColumn colId="2" hiddenButton="1"/>
  </autoFilter>
  <tableColumns count="3">
    <tableColumn id="1" xr3:uid="{00B07599-03BB-4D29-BB82-5F14FEAF483D}" name="Milestone reference" dataDxfId="9"/>
    <tableColumn id="2" xr3:uid="{1B054CA8-9564-4FA0-93C8-82198375F73D}" name="Rehabilitation milestone" dataDxfId="8"/>
    <tableColumn id="3" xr3:uid="{CAC13839-8C19-4CC0-935F-C671E253BF76}" name="Milestone criteria" dataDxfId="7"/>
  </tableColumns>
  <tableStyleInfo name="Table Style 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1139BFE-A63E-4361-B3D4-4C4679CD36C3}" name="Table15" displayName="Table15" ref="A1:C11" totalsRowShown="0" headerRowDxfId="6" headerRowBorderDxfId="5" tableBorderDxfId="4" totalsRowBorderDxfId="3">
  <autoFilter ref="A1:C11" xr:uid="{00000000-0009-0000-0100-00000F000000}">
    <filterColumn colId="0" hiddenButton="1"/>
    <filterColumn colId="1" hiddenButton="1"/>
    <filterColumn colId="2" hiddenButton="1"/>
  </autoFilter>
  <tableColumns count="3">
    <tableColumn id="1" xr3:uid="{B4406CFC-61F5-4C04-BF29-76153BE691D5}" name="Milestone reference" dataDxfId="2"/>
    <tableColumn id="2" xr3:uid="{DC429F51-CAC5-4159-AEC8-236F44552C85}" name="Management milestone" dataDxfId="1"/>
    <tableColumn id="3" xr3:uid="{E726B88A-50A8-4209-A052-6954704A2E7A}" name="Milestone criteria" dataDxfId="0"/>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43CC6D-7768-4627-8F90-1237E0E4F140}" name="Table22" displayName="Table22" ref="A7:AN9" headerRowCount="0" totalsRowShown="0" headerRowDxfId="1491" headerRowBorderDxfId="1490" tableBorderDxfId="1489" totalsRowBorderDxfId="1488">
  <tableColumns count="40">
    <tableColumn id="1" xr3:uid="{8EF71A78-CFA1-4177-8BFE-C8FCAFCC5FFB}" name="Column1" headerRowDxfId="1487" dataDxfId="1486"/>
    <tableColumn id="2" xr3:uid="{ACA73D83-C8B6-45DA-880E-38EEC29D8B20}" name="Column2" headerRowDxfId="1485" dataDxfId="1484"/>
    <tableColumn id="3" xr3:uid="{E353ADFE-0613-423D-A4C9-6FFCEC6E17A3}" name="Column3" headerRowDxfId="1483" dataDxfId="1482"/>
    <tableColumn id="4" xr3:uid="{65883C83-1698-4AF9-B712-65B3774E8D5F}" name="Column4" headerRowDxfId="1481" dataDxfId="1480"/>
    <tableColumn id="5" xr3:uid="{35A60016-F927-4DF3-A1B7-D0F4078D1026}" name="Column5" headerRowDxfId="1479" dataDxfId="1478"/>
    <tableColumn id="6" xr3:uid="{DBC66B83-2B6B-4005-995A-D653D8F7536F}" name="Column6" headerRowDxfId="1477" dataDxfId="1476"/>
    <tableColumn id="7" xr3:uid="{11D30FAC-4CB0-4AB9-B437-2B65489C25FF}" name="Column7" headerRowDxfId="1475" dataDxfId="1474"/>
    <tableColumn id="8" xr3:uid="{90EC130D-C34F-4FED-9464-E7849C8CA710}" name="Column8" headerRowDxfId="1473" dataDxfId="1472"/>
    <tableColumn id="9" xr3:uid="{85D40889-6CAF-44AA-9295-866CE9119DDF}" name="Column9" headerRowDxfId="1471" dataDxfId="1470"/>
    <tableColumn id="10" xr3:uid="{72EE84E9-831D-4CD4-9AB8-77151C606097}" name="Column10" headerRowDxfId="1469" dataDxfId="1468"/>
    <tableColumn id="11" xr3:uid="{58B7C18D-15B5-4124-9FC9-0713E0A935DC}" name="Column11" headerRowDxfId="1467" dataDxfId="1466"/>
    <tableColumn id="12" xr3:uid="{C0CF07F3-6338-423F-ACCF-E910C75BE224}" name="Column12" headerRowDxfId="1465" dataDxfId="1464"/>
    <tableColumn id="13" xr3:uid="{03B63F9D-7AC3-45BE-9103-ECA82599F2B4}" name="Column13" headerRowDxfId="1463" dataDxfId="1462"/>
    <tableColumn id="14" xr3:uid="{39850574-6D86-4B27-96E7-D74038C74108}" name="Column14" headerRowDxfId="1461" dataDxfId="1460"/>
    <tableColumn id="15" xr3:uid="{07C82028-EF93-425E-B3EF-FB38FADA387B}" name="Column15" headerRowDxfId="1459" dataDxfId="1458"/>
    <tableColumn id="16" xr3:uid="{87E214CF-205B-4D04-8767-60018D7E8379}" name="Column16" headerRowDxfId="1457" dataDxfId="1456"/>
    <tableColumn id="17" xr3:uid="{E846B8B2-0C9D-400F-98AB-4236821BCCCC}" name="Column17" headerRowDxfId="1455" dataDxfId="1454"/>
    <tableColumn id="18" xr3:uid="{B9CD9D15-436B-4B65-A0C7-913CF0BA8C9E}" name="Column18" headerRowDxfId="1453" dataDxfId="1452"/>
    <tableColumn id="19" xr3:uid="{FA8F2FCB-20A3-4085-AE32-607D0632A94F}" name="Column19" headerRowDxfId="1451" dataDxfId="1450"/>
    <tableColumn id="20" xr3:uid="{A1677EA4-D07C-4B2A-BB15-F1D90E6D11EF}" name="Column20" headerRowDxfId="1449" dataDxfId="1448"/>
    <tableColumn id="21" xr3:uid="{4AAEB7FD-0286-4B1A-999F-A6CB7DA157D1}" name="Column21" headerRowDxfId="1447" dataDxfId="1446"/>
    <tableColumn id="22" xr3:uid="{55807A41-F983-47BA-A86F-CB1101617AF1}" name="Column22" headerRowDxfId="1445" dataDxfId="1444"/>
    <tableColumn id="23" xr3:uid="{31271DDD-CF0B-4D7C-A55B-27B028067EF0}" name="Column23" headerRowDxfId="1443" dataDxfId="1442"/>
    <tableColumn id="24" xr3:uid="{A76B324A-D654-4ADC-88D9-A9F04EEBE1F5}" name="Column24" headerRowDxfId="1441" dataDxfId="1440"/>
    <tableColumn id="25" xr3:uid="{D557ED4A-1199-4627-B6E9-3B5AC97DCA12}" name="Column25" headerRowDxfId="1439" dataDxfId="1438"/>
    <tableColumn id="26" xr3:uid="{99316904-A1BC-41B8-993E-76818F45CBB3}" name="Column26" headerRowDxfId="1437" dataDxfId="1436"/>
    <tableColumn id="27" xr3:uid="{2AFCA172-A005-4684-ADD6-74FC07F08483}" name="Column27" headerRowDxfId="1435" dataDxfId="1434"/>
    <tableColumn id="28" xr3:uid="{F1561FC6-7F15-462F-B9B6-089382659556}" name="Column28" headerRowDxfId="1433" dataDxfId="1432"/>
    <tableColumn id="29" xr3:uid="{34440DC5-4E97-4467-A7D1-BE1FD09E315C}" name="Column29" headerRowDxfId="1431" dataDxfId="1430"/>
    <tableColumn id="30" xr3:uid="{E66639E4-D85A-4C55-951E-A1004C687B8B}" name="Column30" headerRowDxfId="1429" dataDxfId="1428"/>
    <tableColumn id="31" xr3:uid="{B8102696-86C4-45BF-9EA0-2FACAA561816}" name="Column31" headerRowDxfId="1427" dataDxfId="1426"/>
    <tableColumn id="32" xr3:uid="{1C71C83B-00D3-4235-BD78-CEC0D2E9D6AE}" name="Column32" headerRowDxfId="1425" dataDxfId="1424"/>
    <tableColumn id="33" xr3:uid="{8E4D7791-BA50-4E4D-85D1-88C9223ED7B2}" name="Column33" headerRowDxfId="1423" dataDxfId="1422"/>
    <tableColumn id="34" xr3:uid="{B06A0B73-F974-42F7-A173-5E5AB3D76B27}" name="Column34" headerRowDxfId="1421" dataDxfId="1420"/>
    <tableColumn id="35" xr3:uid="{25661ABD-E2DC-49F0-8063-0E102958EAB6}" name="Column35" headerRowDxfId="1419" dataDxfId="1418"/>
    <tableColumn id="36" xr3:uid="{E767CF18-3755-489D-83E8-23DF8E8605E2}" name="Column36" headerRowDxfId="1417" dataDxfId="1416"/>
    <tableColumn id="37" xr3:uid="{811A98F4-11AA-4339-A2E0-D34BAC0B7D13}" name="Column37" headerRowDxfId="1415" dataDxfId="1414"/>
    <tableColumn id="38" xr3:uid="{CC4EB05A-820B-4900-9D23-8811680B5158}" name="Column38" headerRowDxfId="1413" dataDxfId="1412"/>
    <tableColumn id="39" xr3:uid="{4582E982-15C3-4275-BF7E-934E08EB490B}" name="Column39" headerRowDxfId="1411" dataDxfId="1410"/>
    <tableColumn id="40" xr3:uid="{A455769A-FD24-4531-BD29-B8EFEDC1CB4E}" name="Column40" headerRowDxfId="1409" dataDxfId="140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9E8FDE6-001A-4C6C-85B3-6C3533FC12F3}" name="Table326" displayName="Table326" ref="A11:AN15" headerRowCount="0" totalsRowShown="0">
  <tableColumns count="40">
    <tableColumn id="1" xr3:uid="{23060982-B31C-40C6-A6C0-32F52920D28E}" name="Column1" headerRowDxfId="1407"/>
    <tableColumn id="2" xr3:uid="{BB8E4946-6AD7-436C-AFB0-99E065EE9780}" name="Column2" headerRowDxfId="1406"/>
    <tableColumn id="3" xr3:uid="{A7E1081B-3F50-4B5C-A9A1-1ACE630659A2}" name="Column3" headerRowDxfId="1405"/>
    <tableColumn id="4" xr3:uid="{3BF49E04-47DC-438D-81BE-A9BF752706C1}" name="Column4" headerRowDxfId="1404"/>
    <tableColumn id="5" xr3:uid="{698530B5-D2BE-4039-98B8-B88DB369107B}" name="Column5" headerRowDxfId="1403"/>
    <tableColumn id="6" xr3:uid="{15D476A2-EE7A-44F8-B02A-FDFBED333CAF}" name="Column6" headerRowDxfId="1402"/>
    <tableColumn id="7" xr3:uid="{6B0CA808-BA22-4D0E-8C37-76173DC1DE0A}" name="Column7" headerRowDxfId="1401"/>
    <tableColumn id="8" xr3:uid="{DD127836-029E-45AB-AF02-754A3EC0E418}" name="Column8" headerRowDxfId="1400"/>
    <tableColumn id="9" xr3:uid="{52DB1213-A245-4504-B36E-CC027CD770B7}" name="Column9" headerRowDxfId="1399"/>
    <tableColumn id="10" xr3:uid="{B7493D3D-C980-4842-B04C-C71917B7D229}" name="Column10" headerRowDxfId="1398"/>
    <tableColumn id="11" xr3:uid="{787B58A1-ABAF-41D0-9B04-F1B6EBD1A0A8}" name="Column11" headerRowDxfId="1397"/>
    <tableColumn id="12" xr3:uid="{A9E3AB40-BEFF-4EF6-BC2C-B246B7AF4C37}" name="Column12" headerRowDxfId="1396" dataDxfId="1395"/>
    <tableColumn id="13" xr3:uid="{D227F078-C8E0-4A82-8D00-1259EAFC2980}" name="Column13" headerRowDxfId="1394" dataDxfId="1393"/>
    <tableColumn id="14" xr3:uid="{9CB9D92E-4AE0-4B41-9371-005E83D6C983}" name="Column14" headerRowDxfId="1392" dataDxfId="1391"/>
    <tableColumn id="15" xr3:uid="{0558AC29-F929-4057-B2F1-8E1DE1B57AFB}" name="Column15" headerRowDxfId="1390" dataDxfId="1389"/>
    <tableColumn id="16" xr3:uid="{280631B2-47A6-469B-9458-14F135398D6C}" name="Column16" headerRowDxfId="1388" dataDxfId="1387"/>
    <tableColumn id="17" xr3:uid="{0B8506A4-746C-4C36-8C6B-2DF702B8254F}" name="Column17" headerRowDxfId="1386" dataDxfId="1385"/>
    <tableColumn id="18" xr3:uid="{D8A5202A-19B7-4974-9736-E34CB7EC10B2}" name="Column18" headerRowDxfId="1384" dataDxfId="1383"/>
    <tableColumn id="19" xr3:uid="{961F26F9-CD7E-4E6A-9C9F-92FC2C8B5D7B}" name="Column19" headerRowDxfId="1382" dataDxfId="1381"/>
    <tableColumn id="20" xr3:uid="{57616CBC-056C-475D-AA23-4A6B58113B5C}" name="Column20" headerRowDxfId="1380" dataDxfId="1379"/>
    <tableColumn id="21" xr3:uid="{BD77BE5C-3E8F-4BBC-AD23-97E788F45A60}" name="Column21" headerRowDxfId="1378" dataDxfId="1377"/>
    <tableColumn id="22" xr3:uid="{2BD4773F-5C71-4989-963A-8971CBA42D28}" name="Column22" headerRowDxfId="1376" dataDxfId="1375"/>
    <tableColumn id="23" xr3:uid="{4934F13E-EDE8-436B-82F1-F5CFC10142BF}" name="Column23" headerRowDxfId="1374"/>
    <tableColumn id="24" xr3:uid="{B72A802F-8282-4668-93D4-AE94A2CAA263}" name="Column24" headerRowDxfId="1373"/>
    <tableColumn id="25" xr3:uid="{C70F7303-E6F6-46A8-A7B9-41C31B796363}" name="Column25" headerRowDxfId="1372"/>
    <tableColumn id="26" xr3:uid="{1BF6673E-6290-4BAE-A7CB-F65AF1C7ABEC}" name="Column26" headerRowDxfId="1371"/>
    <tableColumn id="27" xr3:uid="{F1AA88F9-37EC-4056-9C68-8E7018007C9C}" name="Column27" headerRowDxfId="1370"/>
    <tableColumn id="28" xr3:uid="{2A301CBF-DC23-4001-B995-A1420DDE2E9C}" name="Column28" headerRowDxfId="1369"/>
    <tableColumn id="29" xr3:uid="{F3AE2E9D-025A-4F5B-AF51-2E6D8C323F94}" name="Column29" headerRowDxfId="1368"/>
    <tableColumn id="30" xr3:uid="{C39BCA6B-005A-48AA-8E90-3FFBC2F2757F}" name="Column30" headerRowDxfId="1367" dataDxfId="1366"/>
    <tableColumn id="31" xr3:uid="{FB154AE6-54B5-476C-AEB0-07749D5B2342}" name="Column31" headerRowDxfId="1365" dataDxfId="1364"/>
    <tableColumn id="32" xr3:uid="{6DA10353-530E-45BB-9AEE-17EFDB289CE2}" name="Column32" headerRowDxfId="1363" dataDxfId="1362"/>
    <tableColumn id="33" xr3:uid="{33993640-0DE3-4190-8654-E4E7488E6F53}" name="Column33" headerRowDxfId="1361"/>
    <tableColumn id="34" xr3:uid="{29C27EBA-0994-44D2-B4E6-7891885BDBCA}" name="Column34" headerRowDxfId="1360"/>
    <tableColumn id="35" xr3:uid="{4BBC2C2A-8197-460A-A5F3-646912C8CD37}" name="Column35" headerRowDxfId="1359"/>
    <tableColumn id="36" xr3:uid="{ECE73D36-C331-4B2E-BB71-9A9002677435}" name="Column36" headerRowDxfId="1358"/>
    <tableColumn id="37" xr3:uid="{22472449-CED7-47BF-B43A-4558A93251BE}" name="Column37" headerRowDxfId="1357"/>
    <tableColumn id="38" xr3:uid="{EBDE12C8-B881-4081-B6B9-542499A452B1}" name="Column38" headerRowDxfId="1356"/>
    <tableColumn id="39" xr3:uid="{EAF6D2D7-E01E-46B3-A6C3-E064C9B1B3CD}" name="Column39" headerRowDxfId="1355"/>
    <tableColumn id="40" xr3:uid="{92145B15-AC43-4EB2-87CA-B0B806772DF7}" name="Column40" headerRowDxfId="135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AE85800-BC8B-41A9-88AA-7CC4F1317A5D}" name="Table226" displayName="Table226" ref="A7:AK9" headerRowCount="0" totalsRowShown="0" headerRowDxfId="1347" headerRowBorderDxfId="1346" tableBorderDxfId="1345" totalsRowBorderDxfId="1344">
  <tableColumns count="37">
    <tableColumn id="1" xr3:uid="{BD7EE4EC-2ADC-423B-8F99-070DFF039335}" name="Column1" headerRowDxfId="1343" dataDxfId="1342"/>
    <tableColumn id="2" xr3:uid="{4864B9BB-8495-4B23-8513-D9E15DAC8EB5}" name="Column2" headerRowDxfId="1341" dataDxfId="1340"/>
    <tableColumn id="3" xr3:uid="{32EA9383-7C61-424F-A750-38CEF1D48F0D}" name="Column3" headerRowDxfId="1339" dataDxfId="1338"/>
    <tableColumn id="4" xr3:uid="{B8632706-CEB3-4B2A-82C9-A0215EA3F5F3}" name="Column4" headerRowDxfId="1337" dataDxfId="1336"/>
    <tableColumn id="5" xr3:uid="{1F97A2A9-35B5-4B43-AEFB-B5F9B1E378B3}" name="Column5" headerRowDxfId="1335" dataDxfId="1334"/>
    <tableColumn id="6" xr3:uid="{FCBEBA83-9D24-41FD-AAAC-2623D24C0BDD}" name="Column6" headerRowDxfId="1333" dataDxfId="1332"/>
    <tableColumn id="7" xr3:uid="{9AE9C541-AC3A-4F15-8208-54627E780F4C}" name="Column7" headerRowDxfId="1331" dataDxfId="1330"/>
    <tableColumn id="8" xr3:uid="{4F139BF6-357A-4096-828C-79921E1C5F73}" name="Column8" headerRowDxfId="1329" dataDxfId="1328"/>
    <tableColumn id="9" xr3:uid="{E9621FA9-B440-41B0-B03F-B61FA462E9B6}" name="Column9" headerRowDxfId="1327" dataDxfId="1326"/>
    <tableColumn id="10" xr3:uid="{D93026CE-19AF-4629-86D5-10154E01F900}" name="Column10" headerRowDxfId="1325" dataDxfId="1324"/>
    <tableColumn id="11" xr3:uid="{DA41C842-5AD1-4B7E-BA83-465EBA50BB11}" name="Column11" headerRowDxfId="1323" dataDxfId="1322"/>
    <tableColumn id="12" xr3:uid="{B5772DB0-F2B8-40B0-BEDF-4935932BCB91}" name="Column12" headerRowDxfId="1321" dataDxfId="1320"/>
    <tableColumn id="13" xr3:uid="{0A0A49C1-1581-4619-BCDF-5AAC46299897}" name="Column13" headerRowDxfId="1319" dataDxfId="1318"/>
    <tableColumn id="14" xr3:uid="{145EBC3E-6210-429A-A048-CBC2B36347CB}" name="Column14" headerRowDxfId="1317" dataDxfId="1316"/>
    <tableColumn id="15" xr3:uid="{D7CA3C61-A569-4250-9E48-E8AFD118F4FB}" name="Column15" headerRowDxfId="1315" dataDxfId="1314"/>
    <tableColumn id="16" xr3:uid="{D75F9BD8-9C23-4C68-BD72-B540DC044BF0}" name="Column16" headerRowDxfId="1313" dataDxfId="1312"/>
    <tableColumn id="17" xr3:uid="{69BB3DDF-84A8-441C-B8A5-957F7CBC6898}" name="Column17" headerRowDxfId="1311" dataDxfId="1310"/>
    <tableColumn id="18" xr3:uid="{A35D9C53-6DE1-4C47-AD05-667A36E832E9}" name="Column18" headerRowDxfId="1309" dataDxfId="1308"/>
    <tableColumn id="19" xr3:uid="{89461F8E-92B2-4D44-9872-41AE71862FF3}" name="Column19" headerRowDxfId="1307" dataDxfId="1306"/>
    <tableColumn id="20" xr3:uid="{D2B44F4C-6E3F-4192-B929-F094E4746231}" name="Column20" headerRowDxfId="1305" dataDxfId="1304"/>
    <tableColumn id="21" xr3:uid="{7194BC5B-8919-4688-B28F-6341B418B677}" name="Column21" headerRowDxfId="1303" dataDxfId="1302"/>
    <tableColumn id="22" xr3:uid="{7685101F-FFED-46FA-BC53-3F48F380D8C0}" name="Column22" headerRowDxfId="1301" dataDxfId="1300"/>
    <tableColumn id="23" xr3:uid="{5B441987-B4CE-4ED6-A804-A400EC42FE70}" name="Column23" headerRowDxfId="1299" dataDxfId="1298"/>
    <tableColumn id="24" xr3:uid="{6A60D7BF-347A-4B8D-9696-0FA4E105662B}" name="Column24" headerRowDxfId="1297" dataDxfId="1296"/>
    <tableColumn id="25" xr3:uid="{EBE22CFF-622A-407D-8744-F602E438C899}" name="Column25" headerRowDxfId="1295" dataDxfId="1294"/>
    <tableColumn id="26" xr3:uid="{3CD5E500-E61F-45D1-A9C7-0024CF4A5C46}" name="Column26" headerRowDxfId="1293" dataDxfId="1292"/>
    <tableColumn id="27" xr3:uid="{FD1EBA82-D001-4602-9BCD-05A110FAF1F7}" name="Column27" headerRowDxfId="1291" dataDxfId="1290"/>
    <tableColumn id="28" xr3:uid="{508A8615-ADD1-43BD-80FC-56AF5BA34D60}" name="Column28" headerRowDxfId="1289" dataDxfId="1288"/>
    <tableColumn id="29" xr3:uid="{BF4BFC35-B92C-49E7-AE3F-6328B8E9DEEB}" name="Column29" headerRowDxfId="1287" dataDxfId="1286"/>
    <tableColumn id="30" xr3:uid="{4FB5B72F-79BA-4A66-8EBE-17CD98E87B16}" name="Column30" headerRowDxfId="1285" dataDxfId="1284"/>
    <tableColumn id="31" xr3:uid="{AD6BEFF0-AC1B-4442-ABB1-7ADB58390B2B}" name="Column31" headerRowDxfId="1283" dataDxfId="1282"/>
    <tableColumn id="32" xr3:uid="{960655F3-F97B-44E2-8E14-09E00EF2548F}" name="Column32" headerRowDxfId="1281" dataDxfId="1280"/>
    <tableColumn id="33" xr3:uid="{C930928D-EE30-406A-8C27-E2AAFE9CB4AC}" name="Column33" headerRowDxfId="1279" dataDxfId="1278"/>
    <tableColumn id="34" xr3:uid="{06AB3091-805D-4F1C-AE0E-324332FB29D2}" name="Column34" headerRowDxfId="1277" dataDxfId="1276"/>
    <tableColumn id="35" xr3:uid="{C8113DAC-7C21-4FA7-86BD-860EAD627FCE}" name="Column35" headerRowDxfId="1275" dataDxfId="1274"/>
    <tableColumn id="36" xr3:uid="{62C97A99-E6CB-4915-96D0-35AEF6248E77}" name="Column36" headerRowDxfId="1273" dataDxfId="1272"/>
    <tableColumn id="37" xr3:uid="{78D1D347-6565-400B-95D0-A47AE53D2489}" name="Column37" headerRowDxfId="1271" dataDxfId="127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F5A35E4-6C62-405B-AF07-28D5E6A37130}" name="Table357" displayName="Table357" ref="A11:AK16" headerRowCount="0" totalsRowShown="0" headerRowDxfId="1269" headerRowBorderDxfId="1268" tableBorderDxfId="1267" totalsRowBorderDxfId="1266">
  <tableColumns count="37">
    <tableColumn id="1" xr3:uid="{545C76A4-B178-4C11-9E23-BD57B6E6588D}" name="Column1" headerRowDxfId="1265" dataDxfId="1264"/>
    <tableColumn id="2" xr3:uid="{94F31A13-F376-429F-BCF2-1B325BFB55DD}" name="Column2" headerRowDxfId="1263" dataDxfId="1262"/>
    <tableColumn id="3" xr3:uid="{8EDAF8D7-E55E-4C0A-A414-B600509331EE}" name="Column3" headerRowDxfId="1261" dataDxfId="1260"/>
    <tableColumn id="4" xr3:uid="{CFB17801-C255-4361-9CAC-6CEF9AB5B130}" name="Column4" headerRowDxfId="1259" dataDxfId="1258"/>
    <tableColumn id="5" xr3:uid="{8A7F1275-BD31-484A-B4C3-97C52E18A926}" name="Column5" headerRowDxfId="1257" dataDxfId="1256"/>
    <tableColumn id="6" xr3:uid="{EE74879D-9DF0-4B60-A33C-6D741CDE1D99}" name="Column6" headerRowDxfId="1255" dataDxfId="1254"/>
    <tableColumn id="7" xr3:uid="{6FA00DDE-A3B7-43B2-A610-9C3DE83F40C9}" name="Column7" headerRowDxfId="1253" dataDxfId="1252"/>
    <tableColumn id="8" xr3:uid="{26C5F3AE-8E62-41D6-B2F0-64C52F0A1E3E}" name="Column8" headerRowDxfId="1251" dataDxfId="1250"/>
    <tableColumn id="9" xr3:uid="{85600DA4-1474-4DF1-86EB-E105F921BE0C}" name="Column9" headerRowDxfId="1249" dataDxfId="1248"/>
    <tableColumn id="10" xr3:uid="{576BE8DC-7EF3-4649-A82D-5964D72F83C5}" name="Column10" headerRowDxfId="1247" dataDxfId="1246"/>
    <tableColumn id="11" xr3:uid="{7D9187AA-883D-4563-8087-EC47A1A5DE5E}" name="Column11" headerRowDxfId="1245" dataDxfId="1244"/>
    <tableColumn id="12" xr3:uid="{4AC9C467-C7EB-44E4-82F8-922DE2A13A27}" name="Column12" headerRowDxfId="1243" dataDxfId="1242"/>
    <tableColumn id="13" xr3:uid="{8C5F405F-F46A-4403-BEA6-79F866B11778}" name="Column13" headerRowDxfId="1241" dataDxfId="1240"/>
    <tableColumn id="14" xr3:uid="{E3C30EDE-ED88-46C4-B077-4A102F8E0A03}" name="Column14" headerRowDxfId="1239" dataDxfId="1238"/>
    <tableColumn id="15" xr3:uid="{F0AAB820-9EC6-4443-828A-EB9D19539F95}" name="Column15" headerRowDxfId="1237" dataDxfId="1236"/>
    <tableColumn id="16" xr3:uid="{DA24A0BD-5AAC-4E7A-841C-A28C7D9F778C}" name="Column16" headerRowDxfId="1235" dataDxfId="1234"/>
    <tableColumn id="17" xr3:uid="{DA74B3C7-6FC7-4B35-99FD-CEC346CD88E9}" name="Column17" headerRowDxfId="1233" dataDxfId="1232"/>
    <tableColumn id="18" xr3:uid="{38DFD03B-4DF5-4CD3-859B-CBAABA81FD4F}" name="Column18" headerRowDxfId="1231" dataDxfId="1230"/>
    <tableColumn id="19" xr3:uid="{568BC873-9418-48A5-9914-1DBC767412D3}" name="Column19" headerRowDxfId="1229" dataDxfId="1228"/>
    <tableColumn id="20" xr3:uid="{0E7DC3A9-4939-4CE9-87E3-F9C7C5D97138}" name="Column20" headerRowDxfId="1227" dataDxfId="1226"/>
    <tableColumn id="21" xr3:uid="{D90782D4-290B-442A-B3A9-F3D1DCFF89BA}" name="Column21" headerRowDxfId="1225" dataDxfId="1224"/>
    <tableColumn id="22" xr3:uid="{DB949497-F7AE-4CA8-BA75-2D9AC29781F4}" name="Column22" headerRowDxfId="1223" dataDxfId="1222"/>
    <tableColumn id="23" xr3:uid="{8A20F5F8-08A5-40D8-BBCE-64F82D1508B3}" name="Column23" headerRowDxfId="1221" dataDxfId="1220"/>
    <tableColumn id="24" xr3:uid="{824EE044-8792-480A-BC4F-83A0CEEBE317}" name="Column24" headerRowDxfId="1219" dataDxfId="1218"/>
    <tableColumn id="25" xr3:uid="{DD7968F4-023D-461A-8154-183C826CBDAC}" name="Column25" headerRowDxfId="1217" dataDxfId="1216"/>
    <tableColumn id="26" xr3:uid="{ACCFFEB9-ACC0-4147-A8C1-8E881B39C5EC}" name="Column26" headerRowDxfId="1215" dataDxfId="1214"/>
    <tableColumn id="27" xr3:uid="{4FBF2F9F-3779-40F0-B09D-1210A911DDD2}" name="Column27" headerRowDxfId="1213" dataDxfId="1212"/>
    <tableColumn id="28" xr3:uid="{77CBED03-3E32-434A-883C-757B55C2A7DD}" name="Column28" headerRowDxfId="1211" dataDxfId="1210"/>
    <tableColumn id="29" xr3:uid="{F64C1D7B-010F-41FB-95EC-61C41E4D50EE}" name="Column29" headerRowDxfId="1209" dataDxfId="1208"/>
    <tableColumn id="30" xr3:uid="{0CB01403-AA1A-4DC3-9E62-8C84695C6385}" name="Column30" headerRowDxfId="1207" dataDxfId="1206"/>
    <tableColumn id="31" xr3:uid="{7FE16F59-996E-4C24-9F10-A7F738782DC3}" name="Column31" headerRowDxfId="1205" dataDxfId="1204"/>
    <tableColumn id="32" xr3:uid="{63CF93E3-9971-41A3-B585-13FC36E23E7A}" name="Column32" headerRowDxfId="1203" dataDxfId="1202"/>
    <tableColumn id="33" xr3:uid="{35FC50AD-7C1C-455E-8180-D200944FA1B4}" name="Column33" headerRowDxfId="1201" dataDxfId="1200"/>
    <tableColumn id="34" xr3:uid="{C7079285-E0C0-48ED-97BF-17E12FBD00FC}" name="Column34" headerRowDxfId="1199" dataDxfId="1198"/>
    <tableColumn id="35" xr3:uid="{1A7DE920-27B6-4685-8CD3-D505F6846207}" name="Column35" headerRowDxfId="1197" dataDxfId="1196"/>
    <tableColumn id="36" xr3:uid="{736FC902-22BE-423B-BEAC-1166EB3CA8C1}" name="Column36" headerRowDxfId="1195" dataDxfId="1194"/>
    <tableColumn id="37" xr3:uid="{201FA291-609F-4BF0-9F43-F2F69995F2C9}" name="Column37" headerRowDxfId="1193" dataDxfId="1192"/>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5F1C232-796D-4372-BA0E-218731A96E09}" name="Table2268" displayName="Table2268" ref="A7:AC9" headerRowCount="0" totalsRowShown="0" headerRowDxfId="1187" headerRowBorderDxfId="1186" tableBorderDxfId="1185" totalsRowBorderDxfId="1184">
  <tableColumns count="29">
    <tableColumn id="1" xr3:uid="{74C4CCA8-CF10-441B-885F-C7B1408FA0FF}" name="Column1" headerRowDxfId="1183" dataDxfId="1182"/>
    <tableColumn id="2" xr3:uid="{23433CB8-EC10-46D2-A33B-0CBE6DEF32CA}" name="Column2" headerRowDxfId="1181" dataDxfId="1180"/>
    <tableColumn id="3" xr3:uid="{5506B5C4-CA92-4D47-8C7D-A8A641955339}" name="Column3" headerRowDxfId="1179" dataDxfId="1178"/>
    <tableColumn id="4" xr3:uid="{94B53C1A-B12C-49F2-B231-B25844424697}" name="Column4" headerRowDxfId="1177" dataDxfId="1176"/>
    <tableColumn id="5" xr3:uid="{56D3F0F3-E4D7-473C-84E7-056FC51AC0F4}" name="Column5" headerRowDxfId="1175" dataDxfId="1174"/>
    <tableColumn id="6" xr3:uid="{E5593924-63BA-42C0-B850-EE5B6E614D57}" name="Column6" headerRowDxfId="1173" dataDxfId="1172"/>
    <tableColumn id="7" xr3:uid="{F48BD63C-B5FC-4597-96A3-D10CA282F3A3}" name="Column7" headerRowDxfId="1171" dataDxfId="1170"/>
    <tableColumn id="8" xr3:uid="{07B64C54-B479-43E8-8516-71708D01E6B2}" name="Column8" headerRowDxfId="1169" dataDxfId="1168"/>
    <tableColumn id="9" xr3:uid="{7648F258-EB0E-44BF-880B-61BA9F1A5E0D}" name="Column9" headerRowDxfId="1167" dataDxfId="1166"/>
    <tableColumn id="10" xr3:uid="{ED90D66A-9E9E-40AA-AB4D-D490D079C84D}" name="Column10" headerRowDxfId="1165" dataDxfId="1164"/>
    <tableColumn id="11" xr3:uid="{37EF3572-659C-4316-A3A3-11AF2AF018A3}" name="Column11" headerRowDxfId="1163" dataDxfId="1162"/>
    <tableColumn id="12" xr3:uid="{38580CBA-0F11-43BA-B112-9B02FE97B400}" name="Column12" headerRowDxfId="1161" dataDxfId="1160"/>
    <tableColumn id="13" xr3:uid="{9C1128F8-EAAF-43F6-8056-A039A545605F}" name="Column13" headerRowDxfId="1159" dataDxfId="1158"/>
    <tableColumn id="14" xr3:uid="{E37BEE61-1A85-4E7C-B120-EF942F67E6D0}" name="Column14" headerRowDxfId="1157" dataDxfId="1156"/>
    <tableColumn id="15" xr3:uid="{A5FE2FD7-366C-4103-8DCC-1793B77D4DFA}" name="Column15" headerRowDxfId="1155" dataDxfId="1154"/>
    <tableColumn id="16" xr3:uid="{03B484E2-9347-480E-A29E-D0556547D161}" name="Column16" headerRowDxfId="1153" dataDxfId="1152"/>
    <tableColumn id="17" xr3:uid="{859A45A3-209E-4932-B3A8-EE9D322BCB77}" name="Column17" headerRowDxfId="1151" dataDxfId="1150"/>
    <tableColumn id="18" xr3:uid="{3BD689FA-49AD-4D48-8741-B5CD223C1C26}" name="Column18" headerRowDxfId="1149" dataDxfId="1148"/>
    <tableColumn id="19" xr3:uid="{56CB6995-9266-4E7E-8653-25DF223CEB52}" name="Column19" headerRowDxfId="1147" dataDxfId="1146"/>
    <tableColumn id="20" xr3:uid="{D857B515-FDC3-4817-B78B-780BCFDC4AC1}" name="Column20" headerRowDxfId="1145" dataDxfId="1144"/>
    <tableColumn id="21" xr3:uid="{E6EEDD34-59AA-4BE9-AF6A-A4112FB75F19}" name="Column21" headerRowDxfId="1143" dataDxfId="1142"/>
    <tableColumn id="22" xr3:uid="{BE154942-8357-4895-8BD4-F832C3823831}" name="Column22" headerRowDxfId="1141" dataDxfId="1140"/>
    <tableColumn id="23" xr3:uid="{291A09D4-D0AC-4EEE-9D45-543EAF57C0CF}" name="Column23" headerRowDxfId="1139" dataDxfId="1138"/>
    <tableColumn id="24" xr3:uid="{9B07101E-C9B1-42F1-9B39-70FBDE276C59}" name="Column24" headerRowDxfId="1137" dataDxfId="1136"/>
    <tableColumn id="25" xr3:uid="{C421F2DF-1B45-4830-AD11-6DF091C08A71}" name="Column25" headerRowDxfId="1135" dataDxfId="1134"/>
    <tableColumn id="26" xr3:uid="{41D09868-7E1F-432D-A50F-D5E3A3345475}" name="Column26" headerRowDxfId="1133" dataDxfId="1132"/>
    <tableColumn id="27" xr3:uid="{9AE9ADCE-C4C7-4D35-8D3D-3CD42A6A4B2F}" name="Column27" headerRowDxfId="1131" dataDxfId="1130"/>
    <tableColumn id="28" xr3:uid="{7F699D2F-ED74-4341-A280-0DB6EE4ABB63}" name="Column28" headerRowDxfId="1129" dataDxfId="1128"/>
    <tableColumn id="29" xr3:uid="{0583002F-99B5-4932-8B95-8276AE86BFC4}" name="Column29" headerRowDxfId="1127" dataDxfId="112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BDDAFF4-3091-40A9-80D8-8E7372FFEA1A}" name="Table3579" displayName="Table3579" ref="A11:AM15" headerRowCount="0" totalsRowShown="0" headerRowDxfId="1125" headerRowBorderDxfId="1124" tableBorderDxfId="1123" totalsRowBorderDxfId="1122">
  <tableColumns count="39">
    <tableColumn id="1" xr3:uid="{E7717C50-707B-4480-96EA-E260930FFD44}" name="Column1" headerRowDxfId="1121" dataDxfId="1120"/>
    <tableColumn id="2" xr3:uid="{5AE3C6C5-9614-45FA-8F37-1D79C7550F40}" name="Column2" headerRowDxfId="1119" dataDxfId="1118"/>
    <tableColumn id="3" xr3:uid="{54D7EBD4-FACB-4358-B660-30C3BC6F529A}" name="Column3" headerRowDxfId="1117" dataDxfId="1116"/>
    <tableColumn id="4" xr3:uid="{F1D9BBF4-BBA1-4FF2-80BD-E041929DA56C}" name="Column4" headerRowDxfId="1115" dataDxfId="1114"/>
    <tableColumn id="5" xr3:uid="{16546CF1-3876-4FE2-AAD9-5C606054CB66}" name="Column5" headerRowDxfId="1113" dataDxfId="1112"/>
    <tableColumn id="6" xr3:uid="{EC7C4E6F-0EA5-48ED-8071-AF546AAD7FE0}" name="Column6" headerRowDxfId="1111" dataDxfId="1110"/>
    <tableColumn id="7" xr3:uid="{B1C0DA51-0DD1-4669-A08F-7A297947D056}" name="Column7" headerRowDxfId="1109" dataDxfId="1108"/>
    <tableColumn id="8" xr3:uid="{55560FA6-CA56-42F5-B308-6033D9679FB7}" name="Column8" headerRowDxfId="1107" dataDxfId="1106"/>
    <tableColumn id="9" xr3:uid="{13B0D99A-3E02-4E2D-8491-293DCCA1E34E}" name="Column9" headerRowDxfId="1105" dataDxfId="1104"/>
    <tableColumn id="10" xr3:uid="{0AB54EBA-1647-4B6E-8231-26BAA6E100E5}" name="Column10" headerRowDxfId="1103" dataDxfId="1102"/>
    <tableColumn id="11" xr3:uid="{9C1C8DB9-6E33-4988-A3A6-EE5AE36E7B8E}" name="Column11" headerRowDxfId="1101" dataDxfId="1100"/>
    <tableColumn id="12" xr3:uid="{F00D4FEB-C50E-43AB-8E11-B15D16FC5EDB}" name="Column12" headerRowDxfId="1099" dataDxfId="1098"/>
    <tableColumn id="13" xr3:uid="{3CF0ACBD-76DD-418C-82E9-0BCC987A35DC}" name="Column13" headerRowDxfId="1097" dataDxfId="1096"/>
    <tableColumn id="14" xr3:uid="{998D0FE4-39AA-4351-81FE-F7565580128F}" name="Column14" headerRowDxfId="1095" dataDxfId="1094"/>
    <tableColumn id="15" xr3:uid="{2DA52503-1E41-43D0-A320-D978ABEFB469}" name="Column15" headerRowDxfId="1093" dataDxfId="1092"/>
    <tableColumn id="16" xr3:uid="{F485EE07-A200-46B8-929A-484D7F9352C0}" name="Column16" headerRowDxfId="1091" dataDxfId="1090"/>
    <tableColumn id="17" xr3:uid="{5669AD1A-D1C1-49A3-840A-CE6D908A9D68}" name="Column17" headerRowDxfId="1089" dataDxfId="1088"/>
    <tableColumn id="18" xr3:uid="{9D1239D9-8C6B-4DF1-A537-583B316BE31A}" name="Column18" headerRowDxfId="1087" dataDxfId="1086"/>
    <tableColumn id="19" xr3:uid="{DC155187-6941-4078-8360-E036CA3D573B}" name="Column19" headerRowDxfId="1085" dataDxfId="1084"/>
    <tableColumn id="20" xr3:uid="{FA93DF28-17C9-46AD-9ADB-45DA08003213}" name="Column20" headerRowDxfId="1083" dataDxfId="1082"/>
    <tableColumn id="21" xr3:uid="{574177D4-2B9D-4D7D-89AC-4ECAEAC79AF4}" name="Column21" headerRowDxfId="1081" dataDxfId="1080"/>
    <tableColumn id="22" xr3:uid="{0A78C7D0-7A3E-4774-BFB1-981D3DE7D1EA}" name="Column22" headerRowDxfId="1079" dataDxfId="1078"/>
    <tableColumn id="23" xr3:uid="{82CBB322-632E-43A3-8531-A82263205300}" name="Column23" headerRowDxfId="1077" dataDxfId="1076"/>
    <tableColumn id="24" xr3:uid="{9208C9DE-665B-4293-9173-0A166A12D9D9}" name="Column24" headerRowDxfId="1075" dataDxfId="1074"/>
    <tableColumn id="25" xr3:uid="{DDE8F2E3-4A2B-43FA-BC80-27C4DD9A3B52}" name="Column25" headerRowDxfId="1073" dataDxfId="1072"/>
    <tableColumn id="26" xr3:uid="{4699E0D2-96E8-49B7-8E25-206CBCDA8968}" name="Column26" headerRowDxfId="1071" dataDxfId="1070"/>
    <tableColumn id="27" xr3:uid="{60B389B3-3268-4616-935C-95BE53A98022}" name="Column27" headerRowDxfId="1069" dataDxfId="1068"/>
    <tableColumn id="28" xr3:uid="{21A1C3DC-B1F3-4830-91CE-02950B53584D}" name="Column28" headerRowDxfId="1067" dataDxfId="1066"/>
    <tableColumn id="29" xr3:uid="{F0AC69E6-0731-4772-83AA-D867E7DFD0DB}" name="Column29" headerRowDxfId="1065" dataDxfId="1064"/>
    <tableColumn id="30" xr3:uid="{32E2B186-3F35-4B5D-9ACA-43D960D42CB9}" name="Column30" headerRowDxfId="1063" dataDxfId="1062"/>
    <tableColumn id="31" xr3:uid="{60B86665-2A12-4599-82EB-91676004506E}" name="Column31" headerRowDxfId="1061" dataDxfId="1060"/>
    <tableColumn id="32" xr3:uid="{27FB443C-29BD-4FEE-A7A8-E24CFD0A1F38}" name="Column32" headerRowDxfId="1059" dataDxfId="1058"/>
    <tableColumn id="33" xr3:uid="{32C378E0-5FA5-4EB3-AFA5-E56D015416EE}" name="Column33" headerRowDxfId="1057" dataDxfId="1056"/>
    <tableColumn id="34" xr3:uid="{9EB0CE53-C216-4097-B131-68787128ECB6}" name="Column34" headerRowDxfId="1055" dataDxfId="1054"/>
    <tableColumn id="35" xr3:uid="{01BE2BC5-0D56-4EE0-A4BE-B60019E6E0A8}" name="Column35" headerRowDxfId="1053" dataDxfId="1052"/>
    <tableColumn id="36" xr3:uid="{66CE616A-F350-412C-B6EF-C88EE107D0A7}" name="Column36" headerRowDxfId="1051" dataDxfId="1050"/>
    <tableColumn id="37" xr3:uid="{9A4379C1-04E4-450B-A835-57AC969FB1E8}" name="Column37" headerRowDxfId="1049" dataDxfId="1048"/>
    <tableColumn id="38" xr3:uid="{51C1D568-6D88-49B5-BCB1-AB4E7BE6DAA2}" name="Column38" headerRowDxfId="1047" dataDxfId="1046"/>
    <tableColumn id="39" xr3:uid="{A3447EFB-AFCD-4B05-B9CA-9C65C82040DA}" name="Column39" headerRowDxfId="1045" dataDxfId="1044"/>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45BDA7E-64AB-46B9-89DC-A267CFFAA7A4}" name="Table226810" displayName="Table226810" ref="A7:AC9" headerRowCount="0" totalsRowShown="0" headerRowDxfId="1040" headerRowBorderDxfId="1039" tableBorderDxfId="1038" totalsRowBorderDxfId="1037">
  <tableColumns count="29">
    <tableColumn id="1" xr3:uid="{BF6900CD-75DF-49ED-A675-8A5E7E76F729}" name="Column1" headerRowDxfId="1036" dataDxfId="1035"/>
    <tableColumn id="2" xr3:uid="{8BA0370A-1F8C-40F6-AB99-E403EC878A73}" name="Column2" headerRowDxfId="1034" dataDxfId="1033"/>
    <tableColumn id="3" xr3:uid="{C391A018-D1FF-42A1-B2F9-FE1D3A5E6DC4}" name="Column3" headerRowDxfId="1032" dataDxfId="1031"/>
    <tableColumn id="4" xr3:uid="{9077B266-B5BB-45AE-AFF4-DC00C9E61EEA}" name="Column4" headerRowDxfId="1030" dataDxfId="1029"/>
    <tableColumn id="5" xr3:uid="{7B554D55-588E-4E01-93E2-2A4E89E3DDF9}" name="Column5" headerRowDxfId="1028" dataDxfId="1027"/>
    <tableColumn id="6" xr3:uid="{670F3D84-3FFD-4806-A32C-C38F9779440C}" name="Column6" headerRowDxfId="1026" dataDxfId="1025"/>
    <tableColumn id="7" xr3:uid="{0E0A0071-BA79-4C22-9FA2-9496FA1713D9}" name="Column7" headerRowDxfId="1024" dataDxfId="1023"/>
    <tableColumn id="8" xr3:uid="{CEFB14EB-263E-46F2-A5CB-A6A807AF7E14}" name="Column8" headerRowDxfId="1022" dataDxfId="1021"/>
    <tableColumn id="9" xr3:uid="{384062E7-0E2C-4738-9ABB-9BF1007B932B}" name="Column9" headerRowDxfId="1020" dataDxfId="1019"/>
    <tableColumn id="10" xr3:uid="{996E5C82-471A-4421-ABD0-D22E4CD3B852}" name="Column10" headerRowDxfId="1018" dataDxfId="1017"/>
    <tableColumn id="11" xr3:uid="{F0A4828B-593A-4CB2-BD37-C2481434C23B}" name="Column11" headerRowDxfId="1016" dataDxfId="1015"/>
    <tableColumn id="12" xr3:uid="{9A805BB0-4CC4-416C-B89D-1821E82CF635}" name="Column12" headerRowDxfId="1014" dataDxfId="1013"/>
    <tableColumn id="13" xr3:uid="{51D91840-D9D2-485D-B090-8C1CC8F47E67}" name="Column13" headerRowDxfId="1012" dataDxfId="1011"/>
    <tableColumn id="14" xr3:uid="{FEA047FA-80A0-4730-8EB9-ED28187ADE65}" name="Column14" headerRowDxfId="1010" dataDxfId="1009"/>
    <tableColumn id="15" xr3:uid="{E93C222B-18EB-41F6-8F2C-E43565D64D5A}" name="Column15" headerRowDxfId="1008" dataDxfId="1007"/>
    <tableColumn id="16" xr3:uid="{B36F0B42-F2B9-4C50-B941-090CC67E3021}" name="Column16" headerRowDxfId="1006" dataDxfId="1005"/>
    <tableColumn id="17" xr3:uid="{EF2E840C-084B-40CE-9FAA-6460438E01C4}" name="Column17" headerRowDxfId="1004" dataDxfId="1003"/>
    <tableColumn id="18" xr3:uid="{9D32D825-07BB-443B-8A31-5E69E726B153}" name="Column18" headerRowDxfId="1002" dataDxfId="1001"/>
    <tableColumn id="19" xr3:uid="{A995258F-5742-4E9D-8A52-E39902DC4FE2}" name="Column19" headerRowDxfId="1000" dataDxfId="999"/>
    <tableColumn id="20" xr3:uid="{48AC415B-BD10-4E32-BD0D-FE0B345E31EB}" name="Column20" headerRowDxfId="998" dataDxfId="997"/>
    <tableColumn id="21" xr3:uid="{1DFA0D3A-6A5B-4491-9543-B6558AC67387}" name="Column21" headerRowDxfId="996" dataDxfId="995"/>
    <tableColumn id="22" xr3:uid="{D3EF222A-08B3-4613-9AE7-D4A40591CDAE}" name="Column22" headerRowDxfId="994" dataDxfId="993"/>
    <tableColumn id="23" xr3:uid="{08368568-3658-48AC-A53C-F9D51C956ABD}" name="Column23" headerRowDxfId="992" dataDxfId="991"/>
    <tableColumn id="24" xr3:uid="{F3B9F2FE-0607-4134-9946-EA9870BA9BF6}" name="Column24" headerRowDxfId="990" dataDxfId="989"/>
    <tableColumn id="25" xr3:uid="{9ED89264-E315-4B5B-BEC3-C3AD2FF24ED5}" name="Column25" headerRowDxfId="988" dataDxfId="987"/>
    <tableColumn id="26" xr3:uid="{DFE0A2B7-5A45-431C-BE0C-F9FB301FEA3B}" name="Column26" headerRowDxfId="986" dataDxfId="985"/>
    <tableColumn id="27" xr3:uid="{4ED181E5-791E-45EA-908B-66C224C0B1E7}" name="Column27" headerRowDxfId="984" dataDxfId="983"/>
    <tableColumn id="28" xr3:uid="{F16B0D13-DD6C-4A1D-89D3-A74E4BC2B226}" name="Column28" headerRowDxfId="982" dataDxfId="981"/>
    <tableColumn id="29" xr3:uid="{A8CD5E5C-1978-427B-9AC2-4D1F571241F0}" name="Column29" headerRowDxfId="980" dataDxfId="979"/>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table" Target="../tables/table21.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49" zoomScale="90" zoomScaleNormal="90" workbookViewId="0">
      <selection activeCell="Z50" sqref="Z50"/>
    </sheetView>
  </sheetViews>
  <sheetFormatPr defaultRowHeight="14.5" x14ac:dyDescent="0.3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5212-F352-4189-A0E8-C5210FBDD3E5}">
  <dimension ref="A1:AN26"/>
  <sheetViews>
    <sheetView zoomScale="85" zoomScaleNormal="85" workbookViewId="0">
      <selection activeCell="AQ22" sqref="AQ22"/>
    </sheetView>
  </sheetViews>
  <sheetFormatPr defaultColWidth="12.1796875" defaultRowHeight="14.5" x14ac:dyDescent="0.35"/>
  <cols>
    <col min="1" max="1" width="28.453125" style="2" bestFit="1" customWidth="1"/>
    <col min="12" max="40" width="12.1796875" hidden="1" customWidth="1"/>
  </cols>
  <sheetData>
    <row r="1" spans="1:40" ht="23.25" customHeight="1" thickBot="1" x14ac:dyDescent="0.5">
      <c r="A1" s="83" t="s">
        <v>28</v>
      </c>
      <c r="B1" s="84"/>
      <c r="C1" s="84"/>
      <c r="D1" s="84"/>
      <c r="E1" s="84"/>
      <c r="F1" s="84"/>
      <c r="G1" s="84"/>
      <c r="H1" s="84"/>
      <c r="I1" s="84"/>
      <c r="J1" s="84"/>
      <c r="K1" s="85"/>
    </row>
    <row r="2" spans="1:40" ht="16" customHeight="1" thickBot="1" x14ac:dyDescent="0.4">
      <c r="A2" s="90" t="s">
        <v>29</v>
      </c>
      <c r="B2" s="90"/>
      <c r="C2" s="90"/>
      <c r="D2" s="90"/>
      <c r="E2" s="86" t="s">
        <v>63</v>
      </c>
      <c r="F2" s="86"/>
      <c r="G2" s="86"/>
      <c r="H2" s="86"/>
      <c r="I2" s="86"/>
      <c r="J2" s="86"/>
      <c r="K2" s="86"/>
    </row>
    <row r="3" spans="1:40" ht="16" customHeight="1" thickBot="1" x14ac:dyDescent="0.4">
      <c r="A3" s="90" t="s">
        <v>31</v>
      </c>
      <c r="B3" s="90"/>
      <c r="C3" s="90"/>
      <c r="D3" s="90"/>
      <c r="E3" s="86" t="s">
        <v>64</v>
      </c>
      <c r="F3" s="86"/>
      <c r="G3" s="86"/>
      <c r="H3" s="86"/>
      <c r="I3" s="86"/>
      <c r="J3" s="86"/>
      <c r="K3" s="86"/>
    </row>
    <row r="4" spans="1:40" ht="16" customHeight="1" thickBot="1" x14ac:dyDescent="0.4">
      <c r="A4" s="90" t="s">
        <v>33</v>
      </c>
      <c r="B4" s="90"/>
      <c r="C4" s="90"/>
      <c r="D4" s="90"/>
      <c r="E4" s="87">
        <v>31.1</v>
      </c>
      <c r="F4" s="87"/>
      <c r="G4" s="87"/>
      <c r="H4" s="87"/>
      <c r="I4" s="87"/>
      <c r="J4" s="87"/>
      <c r="K4" s="87"/>
    </row>
    <row r="5" spans="1:40" ht="32.15" customHeight="1" thickBot="1" x14ac:dyDescent="0.4">
      <c r="A5" s="89" t="s">
        <v>56</v>
      </c>
      <c r="B5" s="89"/>
      <c r="C5" s="89"/>
      <c r="D5" s="89"/>
      <c r="E5" s="88">
        <v>55154</v>
      </c>
      <c r="F5" s="86"/>
      <c r="G5" s="86"/>
      <c r="H5" s="86"/>
      <c r="I5" s="86"/>
      <c r="J5" s="86"/>
      <c r="K5" s="86"/>
    </row>
    <row r="6" spans="1:40" ht="16" customHeight="1" thickBot="1" x14ac:dyDescent="0.4">
      <c r="A6" s="90" t="s">
        <v>35</v>
      </c>
      <c r="B6" s="90"/>
      <c r="C6" s="90"/>
      <c r="D6" s="90"/>
      <c r="E6" s="86" t="s">
        <v>36</v>
      </c>
      <c r="F6" s="86"/>
      <c r="G6" s="86"/>
      <c r="H6" s="86"/>
      <c r="I6" s="86"/>
      <c r="J6" s="86"/>
      <c r="K6" s="86"/>
    </row>
    <row r="7" spans="1:40" ht="31" customHeight="1" thickBot="1" x14ac:dyDescent="0.4">
      <c r="A7" s="3" t="s">
        <v>37</v>
      </c>
      <c r="B7" s="12">
        <v>54767</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row>
    <row r="8" spans="1:40" ht="31" customHeight="1" thickBot="1" x14ac:dyDescent="0.4">
      <c r="A8" s="78" t="s">
        <v>38</v>
      </c>
      <c r="B8" s="79">
        <v>31.1</v>
      </c>
      <c r="C8" s="79"/>
      <c r="D8" s="79"/>
      <c r="E8" s="79"/>
      <c r="F8" s="79"/>
      <c r="G8" s="79"/>
      <c r="H8" s="79"/>
      <c r="I8" s="79"/>
      <c r="J8" s="79"/>
      <c r="K8" s="79"/>
      <c r="L8" s="19"/>
      <c r="M8" s="20"/>
      <c r="N8" s="20"/>
      <c r="O8" s="20"/>
      <c r="P8" s="19"/>
      <c r="Q8" s="20"/>
      <c r="R8" s="20"/>
      <c r="S8" s="20"/>
      <c r="T8" s="20"/>
      <c r="U8" s="20"/>
      <c r="V8" s="20"/>
      <c r="W8" s="20"/>
      <c r="X8" s="20"/>
      <c r="Y8" s="20"/>
      <c r="Z8" s="20"/>
      <c r="AA8" s="20"/>
      <c r="AB8" s="20"/>
      <c r="AC8" s="20"/>
      <c r="AD8" s="20"/>
      <c r="AE8" s="20"/>
      <c r="AF8" s="20"/>
      <c r="AG8" s="20"/>
      <c r="AH8" s="20"/>
      <c r="AI8" s="20"/>
      <c r="AJ8" s="20"/>
      <c r="AK8" s="20"/>
      <c r="AL8" s="20"/>
      <c r="AM8" s="20"/>
      <c r="AN8" s="20"/>
    </row>
    <row r="9" spans="1:40" ht="31" customHeight="1" thickBot="1" x14ac:dyDescent="0.4">
      <c r="A9" s="55" t="s">
        <v>39</v>
      </c>
      <c r="B9" s="56">
        <v>56228</v>
      </c>
      <c r="C9" s="56">
        <v>57324</v>
      </c>
      <c r="D9" s="56">
        <v>64629</v>
      </c>
      <c r="E9" s="56"/>
      <c r="F9" s="56"/>
      <c r="G9" s="56"/>
      <c r="H9" s="56"/>
      <c r="I9" s="56"/>
      <c r="J9" s="56"/>
      <c r="K9" s="56"/>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row>
    <row r="10" spans="1:40" s="11" customFormat="1" ht="15" thickBot="1" x14ac:dyDescent="0.4">
      <c r="A10" s="1" t="s">
        <v>40</v>
      </c>
      <c r="B10" s="91" t="s">
        <v>41</v>
      </c>
      <c r="C10" s="92"/>
      <c r="D10" s="92"/>
      <c r="E10" s="92"/>
      <c r="F10" s="92"/>
      <c r="G10" s="92"/>
      <c r="H10" s="92"/>
      <c r="I10" s="92"/>
      <c r="J10" s="92"/>
      <c r="K10" s="93"/>
    </row>
    <row r="11" spans="1:40" ht="15" thickBot="1" x14ac:dyDescent="0.4">
      <c r="A11" s="27" t="s">
        <v>6</v>
      </c>
      <c r="B11" s="43">
        <v>31.1</v>
      </c>
      <c r="C11" s="72">
        <f>Table35791117192123[[#This Row],[Column2]]</f>
        <v>31.1</v>
      </c>
      <c r="D11" s="72">
        <f>Table35791117192123[[#This Row],[Column3]]</f>
        <v>31.1</v>
      </c>
      <c r="E11" s="43"/>
      <c r="F11" s="43"/>
      <c r="G11" s="43"/>
      <c r="H11" s="43"/>
      <c r="I11" s="14"/>
      <c r="J11" s="14"/>
      <c r="K11" s="15"/>
      <c r="L11" s="18"/>
      <c r="M11" s="18"/>
      <c r="N11" s="18"/>
      <c r="O11" s="18"/>
      <c r="P11" s="18"/>
      <c r="Q11" s="18"/>
      <c r="R11" s="18"/>
      <c r="S11" s="18"/>
      <c r="T11" s="18"/>
      <c r="U11" s="18"/>
      <c r="V11" s="43"/>
      <c r="W11" s="43"/>
      <c r="X11" s="43"/>
      <c r="Y11" s="43"/>
      <c r="Z11" s="43"/>
      <c r="AA11" s="43"/>
      <c r="AB11" s="43"/>
      <c r="AC11" s="43"/>
      <c r="AD11" s="43"/>
      <c r="AE11" s="43"/>
      <c r="AF11" s="43"/>
      <c r="AG11" s="43"/>
      <c r="AH11" s="43"/>
      <c r="AI11" s="43"/>
      <c r="AJ11" s="43"/>
      <c r="AK11" s="43"/>
      <c r="AL11" s="43"/>
      <c r="AM11" s="43"/>
      <c r="AN11" s="43"/>
    </row>
    <row r="12" spans="1:40" ht="15" thickBot="1" x14ac:dyDescent="0.4">
      <c r="A12" s="27" t="s">
        <v>7</v>
      </c>
      <c r="B12" s="34"/>
      <c r="C12" s="34">
        <v>31.1</v>
      </c>
      <c r="D12" s="70">
        <f>Table35791117192123[[#This Row],[Column3]]</f>
        <v>31.1</v>
      </c>
      <c r="E12" s="34"/>
      <c r="F12" s="34"/>
      <c r="G12" s="34"/>
      <c r="H12" s="34"/>
      <c r="I12" s="14"/>
      <c r="J12" s="14"/>
      <c r="K12" s="15"/>
      <c r="L12" s="14"/>
      <c r="M12" s="14"/>
      <c r="N12" s="14"/>
      <c r="O12" s="14"/>
      <c r="P12" s="14"/>
      <c r="Q12" s="14"/>
      <c r="R12" s="14"/>
      <c r="S12" s="14"/>
      <c r="T12" s="14"/>
      <c r="U12" s="14"/>
      <c r="V12" s="34"/>
      <c r="W12" s="34"/>
      <c r="X12" s="34"/>
      <c r="Y12" s="34"/>
      <c r="Z12" s="34"/>
      <c r="AA12" s="34"/>
      <c r="AB12" s="34"/>
      <c r="AC12" s="34"/>
      <c r="AD12" s="34"/>
      <c r="AE12" s="34"/>
      <c r="AF12" s="34"/>
      <c r="AG12" s="34"/>
      <c r="AH12" s="34"/>
      <c r="AI12" s="40"/>
      <c r="AJ12" s="40"/>
      <c r="AK12" s="40"/>
      <c r="AL12" s="40"/>
      <c r="AM12" s="40"/>
      <c r="AN12" s="40"/>
    </row>
    <row r="13" spans="1:40" ht="15" thickBot="1" x14ac:dyDescent="0.4">
      <c r="A13" s="27" t="s">
        <v>8</v>
      </c>
      <c r="B13" s="34"/>
      <c r="C13" s="34">
        <v>31.1</v>
      </c>
      <c r="D13" s="70">
        <f>Table35791117192123[[#This Row],[Column3]]</f>
        <v>31.1</v>
      </c>
      <c r="E13" s="34"/>
      <c r="F13" s="34"/>
      <c r="G13" s="34"/>
      <c r="H13" s="34"/>
      <c r="I13" s="14"/>
      <c r="J13" s="14"/>
      <c r="K13" s="15"/>
      <c r="L13" s="14"/>
      <c r="M13" s="14"/>
      <c r="N13" s="14"/>
      <c r="O13" s="14"/>
      <c r="P13" s="14"/>
      <c r="Q13" s="14"/>
      <c r="R13" s="14"/>
      <c r="S13" s="14"/>
      <c r="T13" s="14"/>
      <c r="U13" s="14"/>
      <c r="V13" s="34"/>
      <c r="W13" s="34"/>
      <c r="X13" s="34"/>
      <c r="Y13" s="34"/>
      <c r="Z13" s="34"/>
      <c r="AA13" s="34"/>
      <c r="AB13" s="34"/>
      <c r="AC13" s="34"/>
      <c r="AD13" s="34"/>
      <c r="AE13" s="34"/>
      <c r="AF13" s="34"/>
      <c r="AG13" s="34"/>
      <c r="AH13" s="34"/>
      <c r="AI13" s="40"/>
      <c r="AJ13" s="40"/>
      <c r="AK13" s="40"/>
      <c r="AL13" s="40"/>
      <c r="AM13" s="40"/>
      <c r="AN13" s="40"/>
    </row>
    <row r="14" spans="1:40" ht="15" thickBot="1" x14ac:dyDescent="0.4">
      <c r="A14" s="27" t="s">
        <v>9</v>
      </c>
      <c r="B14" s="34"/>
      <c r="C14" s="34">
        <v>31.1</v>
      </c>
      <c r="D14" s="70">
        <f>Table35791117192123[[#This Row],[Column3]]</f>
        <v>31.1</v>
      </c>
      <c r="E14" s="34"/>
      <c r="F14" s="34"/>
      <c r="G14" s="34"/>
      <c r="H14" s="34"/>
      <c r="I14" s="14"/>
      <c r="J14" s="14"/>
      <c r="K14" s="15"/>
      <c r="L14" s="14"/>
      <c r="M14" s="14"/>
      <c r="N14" s="14"/>
      <c r="O14" s="14"/>
      <c r="P14" s="14"/>
      <c r="Q14" s="14"/>
      <c r="R14" s="14"/>
      <c r="S14" s="14"/>
      <c r="T14" s="14"/>
      <c r="U14" s="14"/>
      <c r="V14" s="34"/>
      <c r="W14" s="34"/>
      <c r="X14" s="34"/>
      <c r="Y14" s="34"/>
      <c r="Z14" s="34"/>
      <c r="AA14" s="34"/>
      <c r="AB14" s="34"/>
      <c r="AC14" s="34"/>
      <c r="AD14" s="34"/>
      <c r="AE14" s="34"/>
      <c r="AF14" s="34"/>
      <c r="AG14" s="34"/>
      <c r="AH14" s="34"/>
      <c r="AI14" s="40"/>
      <c r="AJ14" s="40"/>
      <c r="AK14" s="40"/>
      <c r="AL14" s="40"/>
      <c r="AM14" s="40"/>
      <c r="AN14" s="40"/>
    </row>
    <row r="15" spans="1:40" ht="15" thickBot="1" x14ac:dyDescent="0.4">
      <c r="A15" s="27" t="s">
        <v>11</v>
      </c>
      <c r="B15" s="34"/>
      <c r="C15" s="34">
        <v>31.1</v>
      </c>
      <c r="D15" s="70">
        <f>Table35791117192123[[#This Row],[Column3]]</f>
        <v>31.1</v>
      </c>
      <c r="E15" s="34"/>
      <c r="F15" s="34"/>
      <c r="G15" s="34"/>
      <c r="H15" s="34"/>
      <c r="I15" s="14"/>
      <c r="J15" s="14"/>
      <c r="K15" s="15"/>
      <c r="L15" s="14"/>
      <c r="M15" s="14"/>
      <c r="N15" s="14"/>
      <c r="O15" s="14"/>
      <c r="P15" s="14"/>
      <c r="Q15" s="14"/>
      <c r="R15" s="14"/>
      <c r="S15" s="14"/>
      <c r="T15" s="14"/>
      <c r="U15" s="14"/>
      <c r="V15" s="34"/>
      <c r="W15" s="34"/>
      <c r="X15" s="34"/>
      <c r="Y15" s="34"/>
      <c r="Z15" s="34"/>
      <c r="AA15" s="34"/>
      <c r="AB15" s="34"/>
      <c r="AC15" s="34"/>
      <c r="AD15" s="34"/>
      <c r="AE15" s="34"/>
      <c r="AF15" s="34"/>
      <c r="AG15" s="34"/>
      <c r="AH15" s="34"/>
      <c r="AI15" s="40"/>
      <c r="AJ15" s="40"/>
      <c r="AK15" s="40"/>
      <c r="AL15" s="40"/>
      <c r="AM15" s="40"/>
      <c r="AN15" s="40"/>
    </row>
    <row r="16" spans="1:40" ht="15" thickBot="1" x14ac:dyDescent="0.4">
      <c r="A16" s="27" t="s">
        <v>13</v>
      </c>
      <c r="B16" s="14"/>
      <c r="C16" s="14"/>
      <c r="D16" s="34">
        <v>31.1</v>
      </c>
      <c r="E16" s="14"/>
      <c r="F16" s="34"/>
      <c r="G16" s="34"/>
      <c r="H16" s="34"/>
      <c r="I16" s="14"/>
      <c r="J16" s="14"/>
      <c r="K16" s="15"/>
      <c r="L16" s="14"/>
      <c r="M16" s="14"/>
      <c r="N16" s="14"/>
      <c r="O16" s="14"/>
      <c r="P16" s="14"/>
      <c r="Q16" s="14"/>
      <c r="R16" s="14"/>
      <c r="S16" s="14"/>
      <c r="T16" s="14"/>
      <c r="U16" s="14"/>
      <c r="V16" s="34"/>
      <c r="W16" s="34"/>
      <c r="X16" s="34"/>
      <c r="Y16" s="34"/>
      <c r="Z16" s="34"/>
      <c r="AA16" s="34"/>
      <c r="AB16" s="34"/>
      <c r="AC16" s="34"/>
      <c r="AD16" s="34"/>
      <c r="AE16" s="34"/>
      <c r="AF16" s="34"/>
      <c r="AG16" s="34"/>
      <c r="AH16" s="34"/>
      <c r="AI16" s="40"/>
      <c r="AJ16" s="40"/>
      <c r="AK16" s="40"/>
      <c r="AL16" s="40"/>
      <c r="AM16" s="40"/>
      <c r="AN16" s="40"/>
    </row>
    <row r="17" spans="1:40" ht="15" thickBot="1" x14ac:dyDescent="0.4">
      <c r="A17" s="27" t="s">
        <v>15</v>
      </c>
      <c r="B17" s="14"/>
      <c r="C17" s="14"/>
      <c r="D17" s="34">
        <v>31.1</v>
      </c>
      <c r="E17" s="14"/>
      <c r="F17" s="34"/>
      <c r="G17" s="34"/>
      <c r="H17" s="34"/>
      <c r="I17" s="14"/>
      <c r="J17" s="14"/>
      <c r="K17" s="15"/>
      <c r="L17" s="14"/>
      <c r="M17" s="14"/>
      <c r="N17" s="14"/>
      <c r="O17" s="14"/>
      <c r="P17" s="14"/>
      <c r="Q17" s="14"/>
      <c r="R17" s="14"/>
      <c r="S17" s="14"/>
      <c r="T17" s="14"/>
      <c r="U17" s="14"/>
      <c r="V17" s="34"/>
      <c r="W17" s="34"/>
      <c r="X17" s="34"/>
      <c r="Y17" s="34"/>
      <c r="Z17" s="34"/>
      <c r="AA17" s="34"/>
      <c r="AB17" s="34"/>
      <c r="AC17" s="34"/>
      <c r="AD17" s="34"/>
      <c r="AE17" s="34"/>
      <c r="AF17" s="34"/>
      <c r="AG17" s="34"/>
      <c r="AH17" s="34"/>
      <c r="AI17" s="40"/>
      <c r="AJ17" s="40"/>
      <c r="AK17" s="40"/>
      <c r="AL17" s="40"/>
      <c r="AM17" s="40"/>
      <c r="AN17" s="40"/>
    </row>
    <row r="18" spans="1:40" ht="15" thickBot="1" x14ac:dyDescent="0.4">
      <c r="A18" s="27" t="s">
        <v>42</v>
      </c>
      <c r="B18" s="16"/>
      <c r="C18" s="16">
        <v>31</v>
      </c>
      <c r="D18" s="76">
        <f>Table35791117192123[[#This Row],[Column3]]</f>
        <v>31</v>
      </c>
      <c r="E18" s="16"/>
      <c r="F18" s="36"/>
      <c r="G18" s="36"/>
      <c r="H18" s="36"/>
      <c r="I18" s="16"/>
      <c r="J18" s="16"/>
      <c r="K18" s="17"/>
      <c r="L18" s="16"/>
      <c r="M18" s="16"/>
      <c r="N18" s="16"/>
      <c r="O18" s="16"/>
      <c r="P18" s="16"/>
      <c r="Q18" s="16"/>
      <c r="R18" s="16"/>
      <c r="S18" s="16"/>
      <c r="T18" s="16"/>
      <c r="U18" s="16"/>
      <c r="V18" s="36"/>
      <c r="W18" s="36"/>
      <c r="X18" s="36"/>
      <c r="Y18" s="36"/>
      <c r="Z18" s="36"/>
      <c r="AA18" s="36"/>
      <c r="AB18" s="36"/>
      <c r="AC18" s="36"/>
      <c r="AD18" s="36"/>
      <c r="AE18" s="36"/>
      <c r="AF18" s="36"/>
      <c r="AG18" s="36"/>
      <c r="AH18" s="36"/>
      <c r="AI18" s="42"/>
      <c r="AJ18" s="42"/>
      <c r="AK18" s="42"/>
      <c r="AL18" s="42"/>
      <c r="AM18" s="42"/>
      <c r="AN18" s="42"/>
    </row>
    <row r="19" spans="1:40" x14ac:dyDescent="0.35">
      <c r="A19"/>
    </row>
    <row r="20" spans="1:40" ht="15" thickBot="1" x14ac:dyDescent="0.4"/>
    <row r="21" spans="1:40" x14ac:dyDescent="0.35">
      <c r="A21" s="97" t="s">
        <v>43</v>
      </c>
      <c r="B21" s="98"/>
      <c r="C21" s="98"/>
      <c r="D21" s="98"/>
      <c r="E21" s="98"/>
      <c r="F21" s="98"/>
      <c r="G21" s="98"/>
      <c r="H21" s="98"/>
      <c r="I21" s="98"/>
      <c r="J21" s="98"/>
      <c r="K21" s="99"/>
    </row>
    <row r="22" spans="1:40" x14ac:dyDescent="0.35">
      <c r="A22" s="100" t="s">
        <v>44</v>
      </c>
      <c r="B22" s="101"/>
      <c r="C22" s="101"/>
      <c r="D22" s="101"/>
      <c r="E22" s="101"/>
      <c r="F22" s="101"/>
      <c r="G22" s="101"/>
      <c r="H22" s="101"/>
      <c r="I22" s="101"/>
      <c r="J22" s="101"/>
      <c r="K22" s="102"/>
    </row>
    <row r="23" spans="1:40" x14ac:dyDescent="0.35">
      <c r="A23" s="100" t="s">
        <v>45</v>
      </c>
      <c r="B23" s="101"/>
      <c r="C23" s="101"/>
      <c r="D23" s="101"/>
      <c r="E23" s="101"/>
      <c r="F23" s="101"/>
      <c r="G23" s="101"/>
      <c r="H23" s="101"/>
      <c r="I23" s="101"/>
      <c r="J23" s="101"/>
      <c r="K23" s="102"/>
    </row>
    <row r="24" spans="1:40" ht="15" thickBot="1" x14ac:dyDescent="0.4">
      <c r="A24" s="94" t="s">
        <v>46</v>
      </c>
      <c r="B24" s="95"/>
      <c r="C24" s="95"/>
      <c r="D24" s="95"/>
      <c r="E24" s="95"/>
      <c r="F24" s="95"/>
      <c r="G24" s="95"/>
      <c r="H24" s="95"/>
      <c r="I24" s="95"/>
      <c r="J24" s="95"/>
      <c r="K24" s="96"/>
    </row>
    <row r="26" spans="1:40" hidden="1" x14ac:dyDescent="0.35">
      <c r="B26">
        <f>IF(SUM(B8,B11:B18)=SUM(A8,A11:A18),0,1)</f>
        <v>1</v>
      </c>
      <c r="C26">
        <f t="shared" ref="C26:K26" si="0">IF(SUM(C8,C11:C18)=SUM(B8,B11:B18),0,1)</f>
        <v>1</v>
      </c>
      <c r="D26">
        <f t="shared" si="0"/>
        <v>1</v>
      </c>
      <c r="E26">
        <f t="shared" si="0"/>
        <v>1</v>
      </c>
      <c r="F26">
        <f t="shared" si="0"/>
        <v>0</v>
      </c>
      <c r="G26">
        <f t="shared" si="0"/>
        <v>0</v>
      </c>
      <c r="H26">
        <f t="shared" si="0"/>
        <v>0</v>
      </c>
      <c r="I26">
        <f t="shared" si="0"/>
        <v>0</v>
      </c>
      <c r="J26">
        <f t="shared" si="0"/>
        <v>0</v>
      </c>
      <c r="K26">
        <f t="shared" si="0"/>
        <v>0</v>
      </c>
    </row>
  </sheetData>
  <mergeCells count="16">
    <mergeCell ref="A22:K22"/>
    <mergeCell ref="A23:K23"/>
    <mergeCell ref="A24:K24"/>
    <mergeCell ref="A5:D5"/>
    <mergeCell ref="E5:K5"/>
    <mergeCell ref="A6:D6"/>
    <mergeCell ref="E6:K6"/>
    <mergeCell ref="B10:K10"/>
    <mergeCell ref="A21:K21"/>
    <mergeCell ref="A4:D4"/>
    <mergeCell ref="E4:K4"/>
    <mergeCell ref="A1:K1"/>
    <mergeCell ref="A2:D2"/>
    <mergeCell ref="E2:K2"/>
    <mergeCell ref="A3:D3"/>
    <mergeCell ref="E3:K3"/>
  </mergeCells>
  <conditionalFormatting sqref="D7:AN7">
    <cfRule type="containsText" dxfId="480" priority="4" operator="containsText" text="10/12/xxxx">
      <formula>NOT(ISERROR(SEARCH("10/12/xxxx",D7)))</formula>
    </cfRule>
  </conditionalFormatting>
  <conditionalFormatting sqref="B9:AN9">
    <cfRule type="containsText" dxfId="479" priority="3" operator="containsText" text="xx/xx/xxxx">
      <formula>NOT(ISERROR(SEARCH("xx/xx/xxxx",B9)))</formula>
    </cfRule>
  </conditionalFormatting>
  <conditionalFormatting sqref="B7">
    <cfRule type="containsText" dxfId="478" priority="2" operator="containsText" text="10/12/xxxx">
      <formula>NOT(ISERROR(SEARCH("10/12/xxxx",B7)))</formula>
    </cfRule>
  </conditionalFormatting>
  <conditionalFormatting sqref="C7">
    <cfRule type="containsText" dxfId="477" priority="1" operator="containsText" text="10/12/xxxx">
      <formula>NOT(ISERROR(SEARCH("10/12/xxxx",C7)))</formula>
    </cfRule>
  </conditionalFormatting>
  <dataValidations count="5">
    <dataValidation allowBlank="1" showInputMessage="1" showErrorMessage="1" promptTitle="Insert Date" prompt="Please insert the date the area is available for rehabilitation" sqref="B7:AN7" xr:uid="{F7AEDC41-545F-4278-844D-C5A39E5561E7}"/>
    <dataValidation allowBlank="1" showInputMessage="1" showErrorMessage="1" promptTitle="Insert Date" prompt="Please insert the data the milestone is to be completed by" sqref="B9:AN9" xr:uid="{79DEAECB-5B1B-48B9-A900-A042DA750E6F}"/>
    <dataValidation allowBlank="1" showInputMessage="1" showErrorMessage="1" promptTitle="Insert Area (ha)" prompt="Please insert the cumulative area available in hectares (ha)" sqref="D8:K8" xr:uid="{73E830E4-2DBA-4D68-8DF7-F6560DFEC12D}"/>
    <dataValidation allowBlank="1" showInputMessage="1" showErrorMessage="1" promptTitle="Insert Area (ha)" prompt="Please insert the cumulative area achieved in hectares (ha) as required" sqref="I11:K18 B16:C18 E16:E18 D18" xr:uid="{2C243762-7C5F-45B3-A079-F21E3DC23D67}"/>
    <dataValidation allowBlank="1" showInputMessage="1" showErrorMessage="1" prompt="Please input the correct Rehabilitation Area number (RA#)" sqref="E2:K2" xr:uid="{E5E1ED17-EBC3-47E7-A793-B6E834CEC745}"/>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66747-986A-4793-8BC8-80A477A490A9}">
  <dimension ref="A1:AN26"/>
  <sheetViews>
    <sheetView zoomScale="85" zoomScaleNormal="85" workbookViewId="0">
      <pane xSplit="11" topLeftCell="AC1" activePane="topRight" state="frozen"/>
      <selection pane="topRight" activeCell="F32" sqref="F32"/>
    </sheetView>
  </sheetViews>
  <sheetFormatPr defaultColWidth="12.1796875" defaultRowHeight="14.5" x14ac:dyDescent="0.35"/>
  <cols>
    <col min="1" max="1" width="28.453125" style="2" bestFit="1" customWidth="1"/>
    <col min="12" max="40" width="12.1796875" hidden="1" customWidth="1"/>
  </cols>
  <sheetData>
    <row r="1" spans="1:40" ht="23.25" customHeight="1" thickBot="1" x14ac:dyDescent="0.5">
      <c r="A1" s="83" t="s">
        <v>28</v>
      </c>
      <c r="B1" s="84"/>
      <c r="C1" s="84"/>
      <c r="D1" s="84"/>
      <c r="E1" s="84"/>
      <c r="F1" s="84"/>
      <c r="G1" s="84"/>
      <c r="H1" s="84"/>
      <c r="I1" s="84"/>
      <c r="J1" s="84"/>
      <c r="K1" s="85"/>
    </row>
    <row r="2" spans="1:40" ht="16" customHeight="1" thickBot="1" x14ac:dyDescent="0.4">
      <c r="A2" s="90" t="s">
        <v>29</v>
      </c>
      <c r="B2" s="90"/>
      <c r="C2" s="90"/>
      <c r="D2" s="90"/>
      <c r="E2" s="86" t="s">
        <v>65</v>
      </c>
      <c r="F2" s="86"/>
      <c r="G2" s="86"/>
      <c r="H2" s="86"/>
      <c r="I2" s="86"/>
      <c r="J2" s="86"/>
      <c r="K2" s="86"/>
    </row>
    <row r="3" spans="1:40" ht="16" customHeight="1" thickBot="1" x14ac:dyDescent="0.4">
      <c r="A3" s="90" t="s">
        <v>31</v>
      </c>
      <c r="B3" s="90"/>
      <c r="C3" s="90"/>
      <c r="D3" s="90"/>
      <c r="E3" s="86" t="s">
        <v>64</v>
      </c>
      <c r="F3" s="86"/>
      <c r="G3" s="86"/>
      <c r="H3" s="86"/>
      <c r="I3" s="86"/>
      <c r="J3" s="86"/>
      <c r="K3" s="86"/>
    </row>
    <row r="4" spans="1:40" ht="16" customHeight="1" thickBot="1" x14ac:dyDescent="0.4">
      <c r="A4" s="90" t="s">
        <v>33</v>
      </c>
      <c r="B4" s="90"/>
      <c r="C4" s="90"/>
      <c r="D4" s="90"/>
      <c r="E4" s="87">
        <v>34.200000000000003</v>
      </c>
      <c r="F4" s="87"/>
      <c r="G4" s="87"/>
      <c r="H4" s="87"/>
      <c r="I4" s="87"/>
      <c r="J4" s="87"/>
      <c r="K4" s="87"/>
    </row>
    <row r="5" spans="1:40" ht="32.15" customHeight="1" thickBot="1" x14ac:dyDescent="0.4">
      <c r="A5" s="89" t="s">
        <v>56</v>
      </c>
      <c r="B5" s="89"/>
      <c r="C5" s="89"/>
      <c r="D5" s="89"/>
      <c r="E5" s="88">
        <v>55154</v>
      </c>
      <c r="F5" s="86"/>
      <c r="G5" s="86"/>
      <c r="H5" s="86"/>
      <c r="I5" s="86"/>
      <c r="J5" s="86"/>
      <c r="K5" s="86"/>
    </row>
    <row r="6" spans="1:40" ht="16" customHeight="1" thickBot="1" x14ac:dyDescent="0.4">
      <c r="A6" s="90" t="s">
        <v>35</v>
      </c>
      <c r="B6" s="90"/>
      <c r="C6" s="90"/>
      <c r="D6" s="90"/>
      <c r="E6" s="86" t="s">
        <v>36</v>
      </c>
      <c r="F6" s="86"/>
      <c r="G6" s="86"/>
      <c r="H6" s="86"/>
      <c r="I6" s="86"/>
      <c r="J6" s="86"/>
      <c r="K6" s="86"/>
    </row>
    <row r="7" spans="1:40" ht="31" customHeight="1" thickBot="1" x14ac:dyDescent="0.4">
      <c r="A7" s="3" t="s">
        <v>37</v>
      </c>
      <c r="B7" s="12">
        <v>54767</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row>
    <row r="8" spans="1:40" ht="31" customHeight="1" thickBot="1" x14ac:dyDescent="0.4">
      <c r="A8" s="78" t="s">
        <v>38</v>
      </c>
      <c r="B8" s="79">
        <v>34.200000000000003</v>
      </c>
      <c r="C8" s="80"/>
      <c r="D8" s="80"/>
      <c r="E8" s="80"/>
      <c r="F8" s="80"/>
      <c r="G8" s="80"/>
      <c r="H8" s="80"/>
      <c r="I8" s="80"/>
      <c r="J8" s="80"/>
      <c r="K8" s="80"/>
      <c r="L8" s="38"/>
      <c r="M8" s="39"/>
      <c r="N8" s="39"/>
      <c r="O8" s="39"/>
      <c r="P8" s="38"/>
      <c r="Q8" s="39"/>
      <c r="R8" s="39"/>
      <c r="S8" s="39"/>
      <c r="T8" s="39"/>
      <c r="U8" s="39"/>
      <c r="V8" s="39"/>
      <c r="W8" s="39"/>
      <c r="X8" s="39"/>
      <c r="Y8" s="39"/>
      <c r="Z8" s="39"/>
      <c r="AA8" s="39"/>
      <c r="AB8" s="39"/>
      <c r="AC8" s="39"/>
      <c r="AD8" s="39"/>
      <c r="AE8" s="39"/>
      <c r="AF8" s="39"/>
      <c r="AG8" s="39"/>
      <c r="AH8" s="39"/>
      <c r="AI8" s="39"/>
      <c r="AJ8" s="39"/>
      <c r="AK8" s="39"/>
      <c r="AL8" s="39"/>
      <c r="AM8" s="39"/>
      <c r="AN8" s="39"/>
    </row>
    <row r="9" spans="1:40" ht="31" customHeight="1" thickBot="1" x14ac:dyDescent="0.4">
      <c r="A9" s="55" t="s">
        <v>39</v>
      </c>
      <c r="B9" s="56">
        <v>56228</v>
      </c>
      <c r="C9" s="56">
        <v>57324</v>
      </c>
      <c r="D9" s="56">
        <v>64629</v>
      </c>
      <c r="E9" s="56"/>
      <c r="F9" s="56"/>
      <c r="G9" s="56"/>
      <c r="H9" s="56"/>
      <c r="I9" s="56"/>
      <c r="J9" s="56"/>
      <c r="K9" s="56"/>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row>
    <row r="10" spans="1:40" s="11" customFormat="1" ht="15" thickBot="1" x14ac:dyDescent="0.4">
      <c r="A10" s="1" t="s">
        <v>40</v>
      </c>
      <c r="B10" s="91" t="s">
        <v>41</v>
      </c>
      <c r="C10" s="92"/>
      <c r="D10" s="92"/>
      <c r="E10" s="92"/>
      <c r="F10" s="92"/>
      <c r="G10" s="92"/>
      <c r="H10" s="92"/>
      <c r="I10" s="92"/>
      <c r="J10" s="92"/>
      <c r="K10" s="93"/>
    </row>
    <row r="11" spans="1:40" ht="15" thickBot="1" x14ac:dyDescent="0.4">
      <c r="A11" s="27" t="s">
        <v>6</v>
      </c>
      <c r="B11" s="43">
        <v>34.200000000000003</v>
      </c>
      <c r="C11" s="72">
        <f>Table3579111719212325[[#This Row],[Column2]]</f>
        <v>34.200000000000003</v>
      </c>
      <c r="D11" s="72">
        <f>Table3579111719212325[[#This Row],[Column3]]</f>
        <v>34.200000000000003</v>
      </c>
      <c r="E11" s="43"/>
      <c r="F11" s="43"/>
      <c r="G11" s="14"/>
      <c r="H11" s="14"/>
      <c r="I11" s="14"/>
      <c r="J11" s="14"/>
      <c r="K11" s="15"/>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row>
    <row r="12" spans="1:40" ht="15" thickBot="1" x14ac:dyDescent="0.4">
      <c r="A12" s="27" t="s">
        <v>7</v>
      </c>
      <c r="B12" s="34"/>
      <c r="C12" s="34">
        <v>34.200000000000003</v>
      </c>
      <c r="D12" s="72">
        <f>Table3579111719212325[[#This Row],[Column3]]</f>
        <v>34.200000000000003</v>
      </c>
      <c r="E12" s="43"/>
      <c r="F12" s="43"/>
      <c r="G12" s="14"/>
      <c r="H12" s="14"/>
      <c r="I12" s="14"/>
      <c r="J12" s="14"/>
      <c r="K12" s="15"/>
      <c r="L12" s="14"/>
      <c r="M12" s="14"/>
      <c r="N12" s="14"/>
      <c r="O12" s="14"/>
      <c r="P12" s="14"/>
      <c r="Q12" s="14"/>
      <c r="R12" s="14"/>
      <c r="S12" s="14"/>
      <c r="T12" s="14"/>
      <c r="U12" s="14"/>
      <c r="V12" s="40"/>
      <c r="W12" s="40"/>
      <c r="X12" s="40"/>
      <c r="Y12" s="41"/>
      <c r="Z12" s="41"/>
      <c r="AA12" s="41"/>
      <c r="AB12" s="41"/>
      <c r="AC12" s="41"/>
      <c r="AD12" s="41"/>
      <c r="AE12" s="41"/>
      <c r="AF12" s="41"/>
      <c r="AG12" s="41"/>
      <c r="AH12" s="41"/>
      <c r="AI12" s="41"/>
      <c r="AJ12" s="41"/>
      <c r="AK12" s="41"/>
      <c r="AL12" s="41"/>
      <c r="AM12" s="41"/>
      <c r="AN12" s="41"/>
    </row>
    <row r="13" spans="1:40" ht="15" thickBot="1" x14ac:dyDescent="0.4">
      <c r="A13" s="27" t="s">
        <v>8</v>
      </c>
      <c r="B13" s="34"/>
      <c r="C13" s="34">
        <v>34.200000000000003</v>
      </c>
      <c r="D13" s="72">
        <f>Table3579111719212325[[#This Row],[Column3]]</f>
        <v>34.200000000000003</v>
      </c>
      <c r="E13" s="34"/>
      <c r="F13" s="34"/>
      <c r="G13" s="14"/>
      <c r="H13" s="14"/>
      <c r="I13" s="14"/>
      <c r="J13" s="14"/>
      <c r="K13" s="15"/>
      <c r="L13" s="14"/>
      <c r="M13" s="14"/>
      <c r="N13" s="14"/>
      <c r="O13" s="14"/>
      <c r="P13" s="14"/>
      <c r="Q13" s="14"/>
      <c r="R13" s="14"/>
      <c r="S13" s="14"/>
      <c r="T13" s="14"/>
      <c r="U13" s="14"/>
      <c r="V13" s="14"/>
      <c r="W13" s="14"/>
      <c r="X13" s="40"/>
      <c r="Y13" s="40"/>
      <c r="Z13" s="40"/>
      <c r="AA13" s="40"/>
      <c r="AB13" s="40"/>
      <c r="AC13" s="40"/>
      <c r="AD13" s="40"/>
      <c r="AE13" s="40"/>
      <c r="AF13" s="40"/>
      <c r="AG13" s="40"/>
      <c r="AH13" s="40"/>
      <c r="AI13" s="40"/>
      <c r="AJ13" s="40"/>
      <c r="AK13" s="40"/>
      <c r="AL13" s="40"/>
      <c r="AM13" s="40"/>
      <c r="AN13" s="40"/>
    </row>
    <row r="14" spans="1:40" ht="15" thickBot="1" x14ac:dyDescent="0.4">
      <c r="A14" s="27" t="s">
        <v>9</v>
      </c>
      <c r="B14" s="34"/>
      <c r="C14" s="34">
        <v>34.200000000000003</v>
      </c>
      <c r="D14" s="72">
        <f>Table3579111719212325[[#This Row],[Column3]]</f>
        <v>34.200000000000003</v>
      </c>
      <c r="E14" s="34"/>
      <c r="F14" s="34"/>
      <c r="G14" s="14"/>
      <c r="H14" s="14"/>
      <c r="I14" s="14"/>
      <c r="J14" s="14"/>
      <c r="K14" s="15"/>
      <c r="L14" s="14"/>
      <c r="M14" s="14"/>
      <c r="N14" s="14"/>
      <c r="O14" s="14"/>
      <c r="P14" s="14"/>
      <c r="Q14" s="14"/>
      <c r="R14" s="14"/>
      <c r="S14" s="14"/>
      <c r="T14" s="14"/>
      <c r="U14" s="14"/>
      <c r="V14" s="14"/>
      <c r="W14" s="14"/>
      <c r="X14" s="14"/>
      <c r="Y14" s="40"/>
      <c r="Z14" s="40"/>
      <c r="AA14" s="40"/>
      <c r="AB14" s="40"/>
      <c r="AC14" s="40"/>
      <c r="AD14" s="40"/>
      <c r="AE14" s="40"/>
      <c r="AF14" s="40"/>
      <c r="AG14" s="40"/>
      <c r="AH14" s="40"/>
      <c r="AI14" s="40"/>
      <c r="AJ14" s="40"/>
      <c r="AK14" s="40"/>
      <c r="AL14" s="40"/>
      <c r="AM14" s="40"/>
      <c r="AN14" s="40"/>
    </row>
    <row r="15" spans="1:40" ht="15" thickBot="1" x14ac:dyDescent="0.4">
      <c r="A15" s="27" t="s">
        <v>11</v>
      </c>
      <c r="B15" s="34"/>
      <c r="C15" s="34">
        <v>34.200000000000003</v>
      </c>
      <c r="D15" s="72">
        <f>Table3579111719212325[[#This Row],[Column3]]</f>
        <v>34.200000000000003</v>
      </c>
      <c r="E15" s="34"/>
      <c r="F15" s="34"/>
      <c r="G15" s="14"/>
      <c r="H15" s="14"/>
      <c r="I15" s="14"/>
      <c r="J15" s="14"/>
      <c r="K15" s="15"/>
      <c r="L15" s="14"/>
      <c r="M15" s="14"/>
      <c r="N15" s="14"/>
      <c r="O15" s="14"/>
      <c r="P15" s="14"/>
      <c r="Q15" s="14"/>
      <c r="R15" s="14"/>
      <c r="S15" s="14"/>
      <c r="T15" s="14"/>
      <c r="U15" s="14"/>
      <c r="V15" s="14"/>
      <c r="W15" s="14"/>
      <c r="X15" s="14"/>
      <c r="Y15" s="40"/>
      <c r="Z15" s="40"/>
      <c r="AA15" s="40"/>
      <c r="AB15" s="40"/>
      <c r="AC15" s="40"/>
      <c r="AD15" s="40"/>
      <c r="AE15" s="40"/>
      <c r="AF15" s="40"/>
      <c r="AG15" s="40"/>
      <c r="AH15" s="40"/>
      <c r="AI15" s="40"/>
      <c r="AJ15" s="40"/>
      <c r="AK15" s="40"/>
      <c r="AL15" s="40"/>
      <c r="AM15" s="40"/>
      <c r="AN15" s="40"/>
    </row>
    <row r="16" spans="1:40" ht="15" thickBot="1" x14ac:dyDescent="0.4">
      <c r="A16" s="27" t="s">
        <v>13</v>
      </c>
      <c r="B16" s="34"/>
      <c r="C16" s="34"/>
      <c r="D16" s="34">
        <v>34.200000000000003</v>
      </c>
      <c r="E16" s="34"/>
      <c r="F16" s="34"/>
      <c r="G16" s="14"/>
      <c r="H16" s="14"/>
      <c r="I16" s="14"/>
      <c r="J16" s="14"/>
      <c r="K16" s="15"/>
      <c r="L16" s="14"/>
      <c r="M16" s="14"/>
      <c r="N16" s="14"/>
      <c r="O16" s="14"/>
      <c r="P16" s="14"/>
      <c r="Q16" s="14"/>
      <c r="R16" s="14"/>
      <c r="S16" s="14"/>
      <c r="T16" s="14"/>
      <c r="U16" s="14"/>
      <c r="V16" s="14"/>
      <c r="W16" s="14"/>
      <c r="X16" s="14"/>
      <c r="Y16" s="14"/>
      <c r="Z16" s="14"/>
      <c r="AA16" s="14"/>
      <c r="AB16" s="14"/>
      <c r="AC16" s="40"/>
      <c r="AD16" s="40"/>
      <c r="AE16" s="40"/>
      <c r="AF16" s="40"/>
      <c r="AG16" s="40"/>
      <c r="AH16" s="40"/>
      <c r="AI16" s="40"/>
      <c r="AJ16" s="40"/>
      <c r="AK16" s="40"/>
      <c r="AL16" s="40"/>
      <c r="AM16" s="40"/>
      <c r="AN16" s="40"/>
    </row>
    <row r="17" spans="1:40" ht="15" thickBot="1" x14ac:dyDescent="0.4">
      <c r="A17" s="27" t="s">
        <v>15</v>
      </c>
      <c r="B17" s="34"/>
      <c r="C17" s="34"/>
      <c r="D17" s="34">
        <v>34.200000000000003</v>
      </c>
      <c r="E17" s="34"/>
      <c r="F17" s="34"/>
      <c r="G17" s="14"/>
      <c r="H17" s="14"/>
      <c r="I17" s="14"/>
      <c r="J17" s="14"/>
      <c r="K17" s="15"/>
      <c r="L17" s="14"/>
      <c r="M17" s="14"/>
      <c r="N17" s="14"/>
      <c r="O17" s="14"/>
      <c r="P17" s="14"/>
      <c r="Q17" s="14"/>
      <c r="R17" s="14"/>
      <c r="S17" s="14"/>
      <c r="T17" s="14"/>
      <c r="U17" s="14"/>
      <c r="V17" s="14"/>
      <c r="W17" s="14"/>
      <c r="X17" s="14"/>
      <c r="Y17" s="14"/>
      <c r="Z17" s="14"/>
      <c r="AA17" s="14"/>
      <c r="AB17" s="14"/>
      <c r="AC17" s="14"/>
      <c r="AD17" s="14"/>
      <c r="AE17" s="14"/>
      <c r="AF17" s="14"/>
      <c r="AG17" s="14"/>
      <c r="AH17" s="40"/>
      <c r="AI17" s="40"/>
      <c r="AJ17" s="40"/>
      <c r="AK17" s="40"/>
      <c r="AL17" s="40"/>
      <c r="AM17" s="40"/>
      <c r="AN17" s="40"/>
    </row>
    <row r="18" spans="1:40" ht="15" thickBot="1" x14ac:dyDescent="0.4">
      <c r="A18" s="27" t="s">
        <v>42</v>
      </c>
      <c r="B18" s="36"/>
      <c r="C18" s="36">
        <v>34.200000000000003</v>
      </c>
      <c r="D18" s="77">
        <f>Table3579111719212325[[#This Row],[Column3]]</f>
        <v>34.200000000000003</v>
      </c>
      <c r="E18" s="36"/>
      <c r="F18" s="36"/>
      <c r="G18" s="16"/>
      <c r="H18" s="16"/>
      <c r="I18" s="16"/>
      <c r="J18" s="16"/>
      <c r="K18" s="17"/>
      <c r="L18" s="16"/>
      <c r="M18" s="16"/>
      <c r="N18" s="16"/>
      <c r="O18" s="16"/>
      <c r="P18" s="16"/>
      <c r="Q18" s="16"/>
      <c r="R18" s="16"/>
      <c r="S18" s="16"/>
      <c r="T18" s="16"/>
      <c r="U18" s="16"/>
      <c r="V18" s="16"/>
      <c r="W18" s="16"/>
      <c r="X18" s="16"/>
      <c r="Y18" s="16"/>
      <c r="Z18" s="42"/>
      <c r="AA18" s="42"/>
      <c r="AB18" s="42"/>
      <c r="AC18" s="42"/>
      <c r="AD18" s="42"/>
      <c r="AE18" s="42"/>
      <c r="AF18" s="42"/>
      <c r="AG18" s="42"/>
      <c r="AH18" s="42"/>
      <c r="AI18" s="42"/>
      <c r="AJ18" s="42"/>
      <c r="AK18" s="42"/>
      <c r="AL18" s="42"/>
      <c r="AM18" s="42"/>
      <c r="AN18" s="42"/>
    </row>
    <row r="19" spans="1:40" x14ac:dyDescent="0.35">
      <c r="A19"/>
    </row>
    <row r="21" spans="1:40" x14ac:dyDescent="0.35">
      <c r="A21" s="97" t="s">
        <v>43</v>
      </c>
      <c r="B21" s="98"/>
      <c r="C21" s="98"/>
      <c r="D21" s="98"/>
      <c r="E21" s="98"/>
      <c r="F21" s="98"/>
      <c r="G21" s="98"/>
      <c r="H21" s="98"/>
      <c r="I21" s="98"/>
      <c r="J21" s="98"/>
      <c r="K21" s="99"/>
    </row>
    <row r="22" spans="1:40" x14ac:dyDescent="0.35">
      <c r="A22" s="100" t="s">
        <v>44</v>
      </c>
      <c r="B22" s="101"/>
      <c r="C22" s="101"/>
      <c r="D22" s="101"/>
      <c r="E22" s="101"/>
      <c r="F22" s="101"/>
      <c r="G22" s="101"/>
      <c r="H22" s="101"/>
      <c r="I22" s="101"/>
      <c r="J22" s="101"/>
      <c r="K22" s="102"/>
    </row>
    <row r="23" spans="1:40" x14ac:dyDescent="0.35">
      <c r="A23" s="100" t="s">
        <v>45</v>
      </c>
      <c r="B23" s="101"/>
      <c r="C23" s="101"/>
      <c r="D23" s="101"/>
      <c r="E23" s="101"/>
      <c r="F23" s="101"/>
      <c r="G23" s="101"/>
      <c r="H23" s="101"/>
      <c r="I23" s="101"/>
      <c r="J23" s="101"/>
      <c r="K23" s="102"/>
    </row>
    <row r="24" spans="1:40" ht="15" thickBot="1" x14ac:dyDescent="0.4">
      <c r="A24" s="94" t="s">
        <v>46</v>
      </c>
      <c r="B24" s="95"/>
      <c r="C24" s="95"/>
      <c r="D24" s="95"/>
      <c r="E24" s="95"/>
      <c r="F24" s="95"/>
      <c r="G24" s="95"/>
      <c r="H24" s="95"/>
      <c r="I24" s="95"/>
      <c r="J24" s="95"/>
      <c r="K24" s="96"/>
    </row>
    <row r="26" spans="1:40" hidden="1" x14ac:dyDescent="0.35">
      <c r="B26">
        <f>IF(SUM(B8,B11:B18)=SUM(A8,A11:A18),0,1)</f>
        <v>1</v>
      </c>
      <c r="C26">
        <f t="shared" ref="C26:AN26" si="0">IF(SUM(C8,C11:C18)=SUM(B8,B11:B18),0,1)</f>
        <v>1</v>
      </c>
      <c r="D26">
        <f t="shared" si="0"/>
        <v>1</v>
      </c>
      <c r="E26">
        <f t="shared" si="0"/>
        <v>1</v>
      </c>
      <c r="F26">
        <f t="shared" si="0"/>
        <v>0</v>
      </c>
      <c r="G26">
        <f t="shared" si="0"/>
        <v>0</v>
      </c>
      <c r="H26">
        <f t="shared" si="0"/>
        <v>0</v>
      </c>
      <c r="I26">
        <f t="shared" si="0"/>
        <v>0</v>
      </c>
      <c r="J26">
        <f t="shared" si="0"/>
        <v>0</v>
      </c>
      <c r="K26">
        <f t="shared" si="0"/>
        <v>0</v>
      </c>
      <c r="L26">
        <f t="shared" si="0"/>
        <v>0</v>
      </c>
      <c r="M26">
        <f t="shared" si="0"/>
        <v>0</v>
      </c>
      <c r="N26">
        <f t="shared" si="0"/>
        <v>0</v>
      </c>
      <c r="O26">
        <f t="shared" si="0"/>
        <v>0</v>
      </c>
      <c r="P26">
        <f t="shared" si="0"/>
        <v>0</v>
      </c>
      <c r="Q26">
        <f t="shared" si="0"/>
        <v>0</v>
      </c>
      <c r="R26">
        <f t="shared" si="0"/>
        <v>0</v>
      </c>
      <c r="S26">
        <f t="shared" si="0"/>
        <v>0</v>
      </c>
      <c r="T26">
        <f t="shared" si="0"/>
        <v>0</v>
      </c>
      <c r="U26">
        <f t="shared" si="0"/>
        <v>0</v>
      </c>
      <c r="V26">
        <f t="shared" si="0"/>
        <v>0</v>
      </c>
      <c r="W26">
        <f t="shared" si="0"/>
        <v>0</v>
      </c>
      <c r="X26">
        <f t="shared" si="0"/>
        <v>0</v>
      </c>
      <c r="Y26">
        <f t="shared" si="0"/>
        <v>0</v>
      </c>
      <c r="Z26">
        <f t="shared" si="0"/>
        <v>0</v>
      </c>
      <c r="AA26">
        <f t="shared" si="0"/>
        <v>0</v>
      </c>
      <c r="AB26">
        <f t="shared" si="0"/>
        <v>0</v>
      </c>
      <c r="AC26">
        <f t="shared" si="0"/>
        <v>0</v>
      </c>
      <c r="AD26">
        <f t="shared" si="0"/>
        <v>0</v>
      </c>
      <c r="AE26">
        <f t="shared" si="0"/>
        <v>0</v>
      </c>
      <c r="AF26">
        <f t="shared" si="0"/>
        <v>0</v>
      </c>
      <c r="AG26">
        <f t="shared" si="0"/>
        <v>0</v>
      </c>
      <c r="AH26">
        <f t="shared" si="0"/>
        <v>0</v>
      </c>
      <c r="AI26">
        <f t="shared" si="0"/>
        <v>0</v>
      </c>
      <c r="AJ26">
        <f t="shared" si="0"/>
        <v>0</v>
      </c>
      <c r="AK26">
        <f t="shared" si="0"/>
        <v>0</v>
      </c>
      <c r="AL26">
        <f t="shared" si="0"/>
        <v>0</v>
      </c>
      <c r="AM26">
        <f t="shared" si="0"/>
        <v>0</v>
      </c>
      <c r="AN26">
        <f t="shared" si="0"/>
        <v>0</v>
      </c>
    </row>
  </sheetData>
  <mergeCells count="16">
    <mergeCell ref="A22:K22"/>
    <mergeCell ref="A23:K23"/>
    <mergeCell ref="A24:K24"/>
    <mergeCell ref="A5:D5"/>
    <mergeCell ref="E5:K5"/>
    <mergeCell ref="A6:D6"/>
    <mergeCell ref="E6:K6"/>
    <mergeCell ref="B10:K10"/>
    <mergeCell ref="A21:K21"/>
    <mergeCell ref="A4:D4"/>
    <mergeCell ref="E4:K4"/>
    <mergeCell ref="A1:K1"/>
    <mergeCell ref="A2:D2"/>
    <mergeCell ref="E2:K2"/>
    <mergeCell ref="A3:D3"/>
    <mergeCell ref="E3:K3"/>
  </mergeCells>
  <conditionalFormatting sqref="D7:AN7">
    <cfRule type="containsText" dxfId="308" priority="4" operator="containsText" text="10/12/xxxx">
      <formula>NOT(ISERROR(SEARCH("10/12/xxxx",D7)))</formula>
    </cfRule>
  </conditionalFormatting>
  <conditionalFormatting sqref="B9:AN9">
    <cfRule type="containsText" dxfId="307" priority="3" operator="containsText" text="xx/xx/xxxx">
      <formula>NOT(ISERROR(SEARCH("xx/xx/xxxx",B9)))</formula>
    </cfRule>
  </conditionalFormatting>
  <conditionalFormatting sqref="B7">
    <cfRule type="containsText" dxfId="306" priority="2" operator="containsText" text="10/12/xxxx">
      <formula>NOT(ISERROR(SEARCH("10/12/xxxx",B7)))</formula>
    </cfRule>
  </conditionalFormatting>
  <conditionalFormatting sqref="C7">
    <cfRule type="containsText" dxfId="305" priority="1" operator="containsText" text="10/12/xxxx">
      <formula>NOT(ISERROR(SEARCH("10/12/xxxx",C7)))</formula>
    </cfRule>
  </conditionalFormatting>
  <dataValidations count="5">
    <dataValidation allowBlank="1" showInputMessage="1" showErrorMessage="1" prompt="Please input the correct Rehabilitation Area number (RA#)" sqref="E2:K2" xr:uid="{2C4BC15A-92AF-4B65-903B-20F5B4A6CA28}"/>
    <dataValidation allowBlank="1" showInputMessage="1" showErrorMessage="1" promptTitle="Insert Area (ha)" prompt="Please insert the cumulative area achieved in hectares (ha) as required" sqref="B13:B18 G11:K18" xr:uid="{2C7200B0-3149-43C2-B7DD-7756D564D9E2}"/>
    <dataValidation allowBlank="1" showInputMessage="1" showErrorMessage="1" promptTitle="Insert Area (ha)" prompt="Please insert the cumulative area available in hectares (ha)" sqref="D8:K8" xr:uid="{0151D147-435B-43A2-8D75-EE75D7E4D38E}"/>
    <dataValidation allowBlank="1" showInputMessage="1" showErrorMessage="1" promptTitle="Insert Date" prompt="Please insert the data the milestone is to be completed by" sqref="B9:AN9" xr:uid="{554B4D7C-B9E3-4F46-83CC-31D59566FF8F}"/>
    <dataValidation allowBlank="1" showInputMessage="1" showErrorMessage="1" promptTitle="Insert Date" prompt="Please insert the date the area is available for rehabilitation" sqref="B7:AN7" xr:uid="{FA1C0715-6021-4E18-94A4-B0295922CA48}"/>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C27"/>
  <sheetViews>
    <sheetView zoomScale="70" zoomScaleNormal="70" workbookViewId="0">
      <pane xSplit="11" topLeftCell="L1" activePane="topRight" state="frozen"/>
      <selection pane="topRight" activeCell="C36" sqref="C36"/>
    </sheetView>
  </sheetViews>
  <sheetFormatPr defaultColWidth="12.1796875" defaultRowHeight="14.5" x14ac:dyDescent="0.35"/>
  <cols>
    <col min="1" max="1" width="36.81640625" style="2" bestFit="1" customWidth="1"/>
    <col min="12" max="21" width="12.1796875" hidden="1" customWidth="1"/>
    <col min="22" max="25" width="0" hidden="1" customWidth="1"/>
    <col min="26" max="29" width="12.1796875" hidden="1" customWidth="1"/>
  </cols>
  <sheetData>
    <row r="1" spans="1:29" ht="23.25" customHeight="1" thickBot="1" x14ac:dyDescent="0.5">
      <c r="A1" s="83" t="s">
        <v>66</v>
      </c>
      <c r="B1" s="84"/>
      <c r="C1" s="84"/>
      <c r="D1" s="84"/>
      <c r="E1" s="84"/>
      <c r="F1" s="84"/>
      <c r="G1" s="84"/>
      <c r="H1" s="84"/>
      <c r="I1" s="84"/>
      <c r="J1" s="84"/>
      <c r="K1" s="85"/>
    </row>
    <row r="2" spans="1:29" ht="16" customHeight="1" thickBot="1" x14ac:dyDescent="0.4">
      <c r="A2" s="90" t="s">
        <v>67</v>
      </c>
      <c r="B2" s="90"/>
      <c r="C2" s="90"/>
      <c r="D2" s="90"/>
      <c r="E2" s="86" t="s">
        <v>68</v>
      </c>
      <c r="F2" s="86"/>
      <c r="G2" s="86"/>
      <c r="H2" s="86"/>
      <c r="I2" s="86"/>
      <c r="J2" s="86"/>
      <c r="K2" s="86"/>
    </row>
    <row r="3" spans="1:29" ht="16" customHeight="1" thickBot="1" x14ac:dyDescent="0.4">
      <c r="A3" s="90" t="s">
        <v>31</v>
      </c>
      <c r="B3" s="90"/>
      <c r="C3" s="90"/>
      <c r="D3" s="90"/>
      <c r="E3" s="86" t="s">
        <v>69</v>
      </c>
      <c r="F3" s="86"/>
      <c r="G3" s="86"/>
      <c r="H3" s="86"/>
      <c r="I3" s="86"/>
      <c r="J3" s="86"/>
      <c r="K3" s="86"/>
    </row>
    <row r="4" spans="1:29" ht="16" customHeight="1" thickBot="1" x14ac:dyDescent="0.4">
      <c r="A4" s="90" t="s">
        <v>70</v>
      </c>
      <c r="B4" s="90"/>
      <c r="C4" s="90"/>
      <c r="D4" s="90"/>
      <c r="E4" s="87">
        <v>171.6</v>
      </c>
      <c r="F4" s="87"/>
      <c r="G4" s="87"/>
      <c r="H4" s="87"/>
      <c r="I4" s="87"/>
      <c r="J4" s="87"/>
      <c r="K4" s="87"/>
    </row>
    <row r="5" spans="1:29" ht="32.15" customHeight="1" thickBot="1" x14ac:dyDescent="0.4">
      <c r="A5" s="89" t="s">
        <v>71</v>
      </c>
      <c r="B5" s="90"/>
      <c r="C5" s="90"/>
      <c r="D5" s="90"/>
      <c r="E5" s="88">
        <v>54789</v>
      </c>
      <c r="F5" s="86"/>
      <c r="G5" s="86"/>
      <c r="H5" s="86"/>
      <c r="I5" s="86"/>
      <c r="J5" s="86"/>
      <c r="K5" s="86"/>
    </row>
    <row r="6" spans="1:29" ht="16" customHeight="1" thickBot="1" x14ac:dyDescent="0.4">
      <c r="A6" s="90" t="s">
        <v>72</v>
      </c>
      <c r="B6" s="90"/>
      <c r="C6" s="90"/>
      <c r="D6" s="90"/>
      <c r="E6" s="86" t="s">
        <v>73</v>
      </c>
      <c r="F6" s="86"/>
      <c r="G6" s="86"/>
      <c r="H6" s="86"/>
      <c r="I6" s="86"/>
      <c r="J6" s="86"/>
      <c r="K6" s="86"/>
    </row>
    <row r="7" spans="1:29" ht="31" customHeight="1" thickBot="1" x14ac:dyDescent="0.4">
      <c r="A7" s="3" t="s">
        <v>37</v>
      </c>
      <c r="B7" s="12">
        <v>54402</v>
      </c>
      <c r="C7" s="12"/>
      <c r="D7" s="12"/>
      <c r="E7" s="12"/>
      <c r="F7" s="12"/>
      <c r="G7" s="12"/>
      <c r="H7" s="12"/>
      <c r="I7" s="12"/>
      <c r="J7" s="12"/>
      <c r="K7" s="12"/>
      <c r="L7" s="12"/>
      <c r="M7" s="12"/>
      <c r="N7" s="12"/>
      <c r="O7" s="12"/>
      <c r="P7" s="12"/>
      <c r="Q7" s="12"/>
      <c r="R7" s="12"/>
      <c r="S7" s="12"/>
      <c r="T7" s="12"/>
      <c r="U7" s="12"/>
      <c r="V7" s="12"/>
      <c r="W7" s="12"/>
      <c r="X7" s="12"/>
      <c r="Y7" s="12"/>
      <c r="Z7" s="12"/>
      <c r="AA7" s="12"/>
      <c r="AB7" s="12"/>
      <c r="AC7" s="12"/>
    </row>
    <row r="8" spans="1:29" ht="31" customHeight="1" thickBot="1" x14ac:dyDescent="0.4">
      <c r="A8" s="78" t="s">
        <v>38</v>
      </c>
      <c r="B8" s="81">
        <v>171.6</v>
      </c>
      <c r="C8" s="79"/>
      <c r="D8" s="79"/>
      <c r="E8" s="79"/>
      <c r="F8" s="79"/>
      <c r="G8" s="79"/>
      <c r="H8" s="79"/>
      <c r="I8" s="79"/>
      <c r="J8" s="79"/>
      <c r="K8" s="79"/>
      <c r="L8" s="19"/>
      <c r="M8" s="20"/>
      <c r="N8" s="20"/>
      <c r="O8" s="20"/>
      <c r="P8" s="20"/>
      <c r="Q8" s="20"/>
      <c r="R8" s="19"/>
      <c r="S8" s="20"/>
      <c r="T8" s="20"/>
      <c r="U8" s="20"/>
      <c r="V8" s="38"/>
      <c r="W8" s="38"/>
      <c r="X8" s="39"/>
      <c r="Y8" s="39"/>
      <c r="Z8" s="39"/>
      <c r="AA8" s="39"/>
      <c r="AB8" s="39"/>
      <c r="AC8" s="39"/>
    </row>
    <row r="9" spans="1:29" ht="31" customHeight="1" thickBot="1" x14ac:dyDescent="0.4">
      <c r="A9" s="55" t="s">
        <v>39</v>
      </c>
      <c r="B9" s="56">
        <v>56228</v>
      </c>
      <c r="C9" s="56">
        <v>56958</v>
      </c>
      <c r="D9" s="56"/>
      <c r="E9" s="56"/>
      <c r="F9" s="56"/>
      <c r="G9" s="56"/>
      <c r="H9" s="56"/>
      <c r="I9" s="56"/>
      <c r="J9" s="56"/>
      <c r="K9" s="56"/>
      <c r="L9" s="13"/>
      <c r="M9" s="13"/>
      <c r="N9" s="13"/>
      <c r="O9" s="13"/>
      <c r="P9" s="13"/>
      <c r="Q9" s="13"/>
      <c r="R9" s="13"/>
      <c r="S9" s="13"/>
      <c r="T9" s="13"/>
      <c r="U9" s="13"/>
      <c r="V9" s="13"/>
      <c r="W9" s="13"/>
      <c r="X9" s="13"/>
      <c r="Y9" s="13"/>
      <c r="Z9" s="13"/>
      <c r="AA9" s="13"/>
      <c r="AB9" s="13"/>
      <c r="AC9" s="13"/>
    </row>
    <row r="10" spans="1:29" ht="15" thickBot="1" x14ac:dyDescent="0.4">
      <c r="A10" s="1" t="s">
        <v>40</v>
      </c>
      <c r="B10" s="91" t="s">
        <v>41</v>
      </c>
      <c r="C10" s="92"/>
      <c r="D10" s="92"/>
      <c r="E10" s="92"/>
      <c r="F10" s="92"/>
      <c r="G10" s="92"/>
      <c r="H10" s="92"/>
      <c r="I10" s="92"/>
      <c r="J10" s="92"/>
      <c r="K10" s="93"/>
    </row>
    <row r="11" spans="1:29" ht="15" thickBot="1" x14ac:dyDescent="0.4">
      <c r="A11" s="27" t="s">
        <v>16</v>
      </c>
      <c r="B11" s="31">
        <v>171.6</v>
      </c>
      <c r="C11" s="68">
        <f>Table13[[#This Row],[Column2]]</f>
        <v>171.6</v>
      </c>
      <c r="D11" s="31"/>
      <c r="E11" s="31"/>
      <c r="F11" s="31"/>
      <c r="G11" s="31"/>
      <c r="H11" s="31"/>
      <c r="I11" s="31"/>
      <c r="J11" s="31"/>
      <c r="K11" s="31"/>
      <c r="L11" s="31"/>
      <c r="M11" s="31"/>
      <c r="N11" s="31"/>
      <c r="O11" s="31"/>
      <c r="P11" s="31"/>
      <c r="Q11" s="31"/>
      <c r="R11" s="31"/>
      <c r="S11" s="31"/>
      <c r="T11" s="31"/>
      <c r="U11" s="31"/>
      <c r="V11" s="31"/>
      <c r="W11" s="44"/>
      <c r="X11" s="44"/>
      <c r="Y11" s="44"/>
      <c r="Z11" s="44"/>
      <c r="AA11" s="44"/>
      <c r="AB11" s="44"/>
      <c r="AC11" s="44"/>
    </row>
    <row r="12" spans="1:29" ht="15" thickBot="1" x14ac:dyDescent="0.4">
      <c r="A12" s="27" t="s">
        <v>17</v>
      </c>
      <c r="B12" s="31">
        <v>171.6</v>
      </c>
      <c r="C12" s="68">
        <f>Table13[[#This Row],[Column2]]</f>
        <v>171.6</v>
      </c>
      <c r="D12" s="31"/>
      <c r="E12" s="31"/>
      <c r="F12" s="31"/>
      <c r="G12" s="31"/>
      <c r="H12" s="31"/>
      <c r="I12" s="32"/>
      <c r="J12" s="32"/>
      <c r="K12" s="31"/>
      <c r="L12" s="33"/>
      <c r="M12" s="32"/>
      <c r="N12" s="32"/>
      <c r="O12" s="32"/>
      <c r="P12" s="32"/>
      <c r="Q12" s="32"/>
      <c r="R12" s="32"/>
      <c r="S12" s="32"/>
      <c r="T12" s="32"/>
      <c r="U12" s="32"/>
      <c r="V12" s="32"/>
      <c r="W12" s="46"/>
      <c r="X12" s="44"/>
      <c r="Y12" s="44"/>
      <c r="Z12" s="44"/>
      <c r="AA12" s="44"/>
      <c r="AB12" s="44"/>
      <c r="AC12" s="44"/>
    </row>
    <row r="13" spans="1:29" ht="15" thickBot="1" x14ac:dyDescent="0.4">
      <c r="A13" s="27" t="s">
        <v>18</v>
      </c>
      <c r="B13" s="31"/>
      <c r="C13" s="31">
        <v>171.6</v>
      </c>
      <c r="D13" s="31"/>
      <c r="E13" s="31"/>
      <c r="F13" s="31"/>
      <c r="G13" s="31"/>
      <c r="H13" s="31"/>
      <c r="I13" s="32"/>
      <c r="J13" s="32"/>
      <c r="K13" s="31"/>
      <c r="L13" s="33"/>
      <c r="M13" s="32"/>
      <c r="N13" s="32"/>
      <c r="O13" s="32"/>
      <c r="P13" s="32"/>
      <c r="Q13" s="32"/>
      <c r="R13" s="32"/>
      <c r="S13" s="32"/>
      <c r="T13" s="32"/>
      <c r="U13" s="32"/>
      <c r="V13" s="32"/>
      <c r="W13" s="46"/>
      <c r="X13" s="46"/>
      <c r="Y13" s="44"/>
      <c r="Z13" s="44"/>
      <c r="AA13" s="44"/>
      <c r="AB13" s="44"/>
      <c r="AC13" s="44"/>
    </row>
    <row r="14" spans="1:29" ht="15" thickBot="1" x14ac:dyDescent="0.4">
      <c r="A14" s="4"/>
      <c r="B14" s="34"/>
      <c r="C14" s="34"/>
      <c r="D14" s="34"/>
      <c r="E14" s="34"/>
      <c r="F14" s="34"/>
      <c r="G14" s="34"/>
      <c r="H14" s="34"/>
      <c r="I14" s="34"/>
      <c r="J14" s="34"/>
      <c r="K14" s="35"/>
      <c r="L14" s="34"/>
      <c r="M14" s="34"/>
      <c r="N14" s="34"/>
      <c r="O14" s="34"/>
      <c r="P14" s="34"/>
      <c r="Q14" s="34"/>
      <c r="R14" s="34"/>
      <c r="S14" s="34"/>
      <c r="T14" s="34"/>
      <c r="U14" s="34"/>
      <c r="V14" s="34"/>
      <c r="W14" s="34"/>
      <c r="X14" s="34"/>
      <c r="Y14" s="34"/>
      <c r="Z14" s="34"/>
      <c r="AA14" s="34"/>
      <c r="AB14" s="34"/>
      <c r="AC14" s="34"/>
    </row>
    <row r="15" spans="1:29" x14ac:dyDescent="0.35">
      <c r="A15" s="5"/>
      <c r="B15" s="36"/>
      <c r="C15" s="36"/>
      <c r="D15" s="36"/>
      <c r="E15" s="36"/>
      <c r="F15" s="36"/>
      <c r="G15" s="36"/>
      <c r="H15" s="36"/>
      <c r="I15" s="36"/>
      <c r="J15" s="36"/>
      <c r="K15" s="37"/>
      <c r="L15" s="36"/>
      <c r="M15" s="36"/>
      <c r="N15" s="36"/>
      <c r="O15" s="36"/>
      <c r="P15" s="36"/>
      <c r="Q15" s="36"/>
      <c r="R15" s="36"/>
      <c r="S15" s="36"/>
      <c r="T15" s="36"/>
      <c r="U15" s="36"/>
      <c r="V15" s="36"/>
      <c r="W15" s="36"/>
      <c r="X15" s="36"/>
      <c r="Y15" s="36"/>
      <c r="Z15" s="36"/>
      <c r="AA15" s="36"/>
      <c r="AB15" s="36"/>
      <c r="AC15" s="36"/>
    </row>
    <row r="16" spans="1:29" x14ac:dyDescent="0.35">
      <c r="A16"/>
    </row>
    <row r="17" spans="1:29" x14ac:dyDescent="0.35">
      <c r="A17"/>
    </row>
    <row r="18" spans="1:29" ht="15" thickBot="1" x14ac:dyDescent="0.4"/>
    <row r="19" spans="1:29" x14ac:dyDescent="0.35">
      <c r="A19" s="97" t="s">
        <v>74</v>
      </c>
      <c r="B19" s="98"/>
      <c r="C19" s="98"/>
      <c r="D19" s="98"/>
      <c r="E19" s="98"/>
      <c r="F19" s="98"/>
      <c r="G19" s="98"/>
      <c r="H19" s="98"/>
      <c r="I19" s="98"/>
      <c r="J19" s="98"/>
      <c r="K19" s="99"/>
    </row>
    <row r="20" spans="1:29" x14ac:dyDescent="0.35">
      <c r="A20" s="100" t="s">
        <v>75</v>
      </c>
      <c r="B20" s="101"/>
      <c r="C20" s="101"/>
      <c r="D20" s="101"/>
      <c r="E20" s="101"/>
      <c r="F20" s="101"/>
      <c r="G20" s="101"/>
      <c r="H20" s="101"/>
      <c r="I20" s="101"/>
      <c r="J20" s="101"/>
      <c r="K20" s="102"/>
    </row>
    <row r="21" spans="1:29" x14ac:dyDescent="0.35">
      <c r="A21" s="100" t="s">
        <v>76</v>
      </c>
      <c r="B21" s="101"/>
      <c r="C21" s="101"/>
      <c r="D21" s="101"/>
      <c r="E21" s="101"/>
      <c r="F21" s="101"/>
      <c r="G21" s="101"/>
      <c r="H21" s="101"/>
      <c r="I21" s="101"/>
      <c r="J21" s="101"/>
      <c r="K21" s="102"/>
    </row>
    <row r="22" spans="1:29" ht="15" thickBot="1" x14ac:dyDescent="0.4">
      <c r="A22" s="94" t="s">
        <v>77</v>
      </c>
      <c r="B22" s="95"/>
      <c r="C22" s="95"/>
      <c r="D22" s="95"/>
      <c r="E22" s="95"/>
      <c r="F22" s="95"/>
      <c r="G22" s="95"/>
      <c r="H22" s="95"/>
      <c r="I22" s="95"/>
      <c r="J22" s="95"/>
      <c r="K22" s="96"/>
    </row>
    <row r="27" spans="1:29" hidden="1" x14ac:dyDescent="0.35">
      <c r="B27">
        <f>IF(SUM(B8,B11:B19)=SUM(A8,A11:A19),0,1)</f>
        <v>1</v>
      </c>
      <c r="C27">
        <f t="shared" ref="C27:AC27" si="0">IF(SUM(C8,C11:C19)=SUM(B8,B11:B19),0,1)</f>
        <v>0</v>
      </c>
      <c r="D27">
        <f t="shared" si="0"/>
        <v>1</v>
      </c>
      <c r="E27">
        <f t="shared" si="0"/>
        <v>0</v>
      </c>
      <c r="F27">
        <f t="shared" si="0"/>
        <v>0</v>
      </c>
      <c r="G27">
        <f t="shared" si="0"/>
        <v>0</v>
      </c>
      <c r="H27">
        <f t="shared" si="0"/>
        <v>0</v>
      </c>
      <c r="I27">
        <f t="shared" si="0"/>
        <v>0</v>
      </c>
      <c r="J27">
        <f t="shared" si="0"/>
        <v>0</v>
      </c>
      <c r="K27">
        <f t="shared" si="0"/>
        <v>0</v>
      </c>
      <c r="L27">
        <f t="shared" si="0"/>
        <v>0</v>
      </c>
      <c r="M27">
        <f t="shared" si="0"/>
        <v>0</v>
      </c>
      <c r="N27">
        <f t="shared" si="0"/>
        <v>0</v>
      </c>
      <c r="O27">
        <f t="shared" si="0"/>
        <v>0</v>
      </c>
      <c r="P27">
        <f t="shared" si="0"/>
        <v>0</v>
      </c>
      <c r="Q27">
        <f t="shared" si="0"/>
        <v>0</v>
      </c>
      <c r="R27">
        <f t="shared" si="0"/>
        <v>0</v>
      </c>
      <c r="S27">
        <f t="shared" si="0"/>
        <v>0</v>
      </c>
      <c r="T27">
        <f t="shared" si="0"/>
        <v>0</v>
      </c>
      <c r="U27">
        <f t="shared" si="0"/>
        <v>0</v>
      </c>
      <c r="V27">
        <f t="shared" si="0"/>
        <v>0</v>
      </c>
      <c r="W27">
        <f t="shared" si="0"/>
        <v>0</v>
      </c>
      <c r="X27">
        <f t="shared" si="0"/>
        <v>0</v>
      </c>
      <c r="Y27">
        <f t="shared" si="0"/>
        <v>0</v>
      </c>
      <c r="Z27">
        <f t="shared" si="0"/>
        <v>0</v>
      </c>
      <c r="AA27">
        <f t="shared" si="0"/>
        <v>0</v>
      </c>
      <c r="AB27">
        <f t="shared" si="0"/>
        <v>0</v>
      </c>
      <c r="AC27">
        <f t="shared" si="0"/>
        <v>0</v>
      </c>
    </row>
  </sheetData>
  <mergeCells count="16">
    <mergeCell ref="A22:K22"/>
    <mergeCell ref="A1:K1"/>
    <mergeCell ref="A2:D2"/>
    <mergeCell ref="E2:K2"/>
    <mergeCell ref="A3:D3"/>
    <mergeCell ref="E3:K3"/>
    <mergeCell ref="A4:D4"/>
    <mergeCell ref="E4:K4"/>
    <mergeCell ref="A19:K19"/>
    <mergeCell ref="A20:K20"/>
    <mergeCell ref="A21:K21"/>
    <mergeCell ref="B10:K10"/>
    <mergeCell ref="A5:D5"/>
    <mergeCell ref="E5:K5"/>
    <mergeCell ref="A6:D6"/>
    <mergeCell ref="E6:K6"/>
  </mergeCells>
  <conditionalFormatting sqref="C7:AC7">
    <cfRule type="containsText" dxfId="140" priority="3" operator="containsText" text="10/12/xxxx">
      <formula>NOT(ISERROR(SEARCH("10/12/xxxx",C7)))</formula>
    </cfRule>
  </conditionalFormatting>
  <conditionalFormatting sqref="B9:AC9">
    <cfRule type="containsText" dxfId="139" priority="2" operator="containsText" text="xx/xx/xxxx">
      <formula>NOT(ISERROR(SEARCH("xx/xx/xxxx",B9)))</formula>
    </cfRule>
  </conditionalFormatting>
  <conditionalFormatting sqref="B7">
    <cfRule type="containsText" dxfId="138" priority="1" operator="containsText" text="10/12/xxxx">
      <formula>NOT(ISERROR(SEARCH("10/12/xxxx",B7)))</formula>
    </cfRule>
  </conditionalFormatting>
  <dataValidations count="6">
    <dataValidation allowBlank="1" showInputMessage="1" showErrorMessage="1" prompt="Insert the Management Milestone number here (MM#)" sqref="A14:A15" xr:uid="{00000000-0002-0000-0200-000000000000}"/>
    <dataValidation allowBlank="1" showInputMessage="1" showErrorMessage="1" promptTitle="Insert Date" prompt="Please insert the date the area is available" sqref="B7:AC7" xr:uid="{00000000-0002-0000-0200-000001000000}"/>
    <dataValidation allowBlank="1" showInputMessage="1" showErrorMessage="1" promptTitle="Insert Area (ha)" prompt="Please insert the cumulative area available in hectares (ha)" sqref="C8:K8" xr:uid="{00000000-0002-0000-0200-000002000000}"/>
    <dataValidation allowBlank="1" showInputMessage="1" showErrorMessage="1" promptTitle="Insert Date" prompt="Please insert the date the milestone is to be completed by" sqref="B9:AC9" xr:uid="{00000000-0002-0000-0200-000003000000}"/>
    <dataValidation allowBlank="1" showInputMessage="1" showErrorMessage="1" promptTitle="Insert Area (ha)" prompt="Please insert the cumulative area achieved in hectares (ha) as required" sqref="B14:K15"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tableParts count="2">
    <tablePart r:id="rId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77103-D18E-457C-84C4-61F317F40714}">
  <sheetPr>
    <pageSetUpPr fitToPage="1"/>
  </sheetPr>
  <dimension ref="A1:C19"/>
  <sheetViews>
    <sheetView topLeftCell="A7" zoomScale="70" zoomScaleNormal="70" workbookViewId="0">
      <selection activeCell="I9" sqref="I9"/>
    </sheetView>
  </sheetViews>
  <sheetFormatPr defaultRowHeight="14.5" x14ac:dyDescent="0.35"/>
  <cols>
    <col min="1" max="1" width="31.54296875" customWidth="1"/>
    <col min="2" max="2" width="41.54296875" customWidth="1"/>
    <col min="3" max="3" width="120.54296875" customWidth="1"/>
  </cols>
  <sheetData>
    <row r="1" spans="1:3" ht="23.25" customHeight="1" thickBot="1" x14ac:dyDescent="0.4">
      <c r="A1" s="6" t="s">
        <v>78</v>
      </c>
      <c r="B1" s="7" t="s">
        <v>79</v>
      </c>
      <c r="C1" s="8" t="s">
        <v>80</v>
      </c>
    </row>
    <row r="2" spans="1:3" ht="73" thickBot="1" x14ac:dyDescent="0.4">
      <c r="A2" s="4" t="s">
        <v>6</v>
      </c>
      <c r="B2" s="21" t="s">
        <v>81</v>
      </c>
      <c r="C2" s="22" t="s">
        <v>123</v>
      </c>
    </row>
    <row r="3" spans="1:3" ht="58.5" thickBot="1" x14ac:dyDescent="0.4">
      <c r="A3" s="4" t="s">
        <v>7</v>
      </c>
      <c r="B3" s="21" t="s">
        <v>82</v>
      </c>
      <c r="C3" s="22" t="s">
        <v>116</v>
      </c>
    </row>
    <row r="4" spans="1:3" ht="15" thickBot="1" x14ac:dyDescent="0.4">
      <c r="A4" s="4" t="s">
        <v>8</v>
      </c>
      <c r="B4" s="21" t="s">
        <v>83</v>
      </c>
      <c r="C4" s="22" t="s">
        <v>84</v>
      </c>
    </row>
    <row r="5" spans="1:3" ht="58.5" thickBot="1" x14ac:dyDescent="0.4">
      <c r="A5" s="4" t="s">
        <v>9</v>
      </c>
      <c r="B5" s="21" t="s">
        <v>85</v>
      </c>
      <c r="C5" s="22" t="s">
        <v>86</v>
      </c>
    </row>
    <row r="6" spans="1:3" ht="44" thickBot="1" x14ac:dyDescent="0.4">
      <c r="A6" s="4" t="s">
        <v>10</v>
      </c>
      <c r="B6" s="21" t="s">
        <v>87</v>
      </c>
      <c r="C6" s="22" t="s">
        <v>88</v>
      </c>
    </row>
    <row r="7" spans="1:3" ht="29.5" thickBot="1" x14ac:dyDescent="0.4">
      <c r="A7" s="4" t="s">
        <v>11</v>
      </c>
      <c r="B7" s="21" t="s">
        <v>89</v>
      </c>
      <c r="C7" s="22" t="s">
        <v>90</v>
      </c>
    </row>
    <row r="8" spans="1:3" ht="131" thickBot="1" x14ac:dyDescent="0.4">
      <c r="A8" s="4" t="s">
        <v>12</v>
      </c>
      <c r="B8" s="21" t="s">
        <v>91</v>
      </c>
      <c r="C8" s="22" t="s">
        <v>124</v>
      </c>
    </row>
    <row r="9" spans="1:3" ht="131" thickBot="1" x14ac:dyDescent="0.4">
      <c r="A9" s="4" t="s">
        <v>13</v>
      </c>
      <c r="B9" s="21" t="s">
        <v>117</v>
      </c>
      <c r="C9" s="22" t="s">
        <v>125</v>
      </c>
    </row>
    <row r="10" spans="1:3" ht="29.5" thickBot="1" x14ac:dyDescent="0.4">
      <c r="A10" s="5" t="s">
        <v>14</v>
      </c>
      <c r="B10" s="23" t="s">
        <v>92</v>
      </c>
      <c r="C10" s="24" t="s">
        <v>93</v>
      </c>
    </row>
    <row r="11" spans="1:3" ht="29.5" thickBot="1" x14ac:dyDescent="0.4">
      <c r="A11" s="4" t="s">
        <v>15</v>
      </c>
      <c r="B11" s="23" t="s">
        <v>94</v>
      </c>
      <c r="C11" s="25" t="s">
        <v>95</v>
      </c>
    </row>
    <row r="12" spans="1:3" ht="29.5" thickBot="1" x14ac:dyDescent="0.4">
      <c r="A12" s="4" t="s">
        <v>42</v>
      </c>
      <c r="B12" s="21" t="s">
        <v>96</v>
      </c>
      <c r="C12" s="25" t="s">
        <v>126</v>
      </c>
    </row>
    <row r="13" spans="1:3" ht="15" thickBot="1" x14ac:dyDescent="0.4">
      <c r="A13" s="4"/>
      <c r="B13" s="21"/>
      <c r="C13" s="25"/>
    </row>
    <row r="14" spans="1:3" ht="15" thickBot="1" x14ac:dyDescent="0.4">
      <c r="A14" s="4"/>
      <c r="B14" s="21"/>
      <c r="C14" s="25"/>
    </row>
    <row r="16" spans="1:3" ht="15" thickBot="1" x14ac:dyDescent="0.4"/>
    <row r="17" spans="1:3" x14ac:dyDescent="0.35">
      <c r="A17" s="97" t="s">
        <v>97</v>
      </c>
      <c r="B17" s="98"/>
      <c r="C17" s="99"/>
    </row>
    <row r="18" spans="1:3" x14ac:dyDescent="0.35">
      <c r="A18" s="100" t="s">
        <v>98</v>
      </c>
      <c r="B18" s="101"/>
      <c r="C18" s="102"/>
    </row>
    <row r="19" spans="1:3" ht="15" thickBot="1" x14ac:dyDescent="0.4">
      <c r="A19" s="94" t="s">
        <v>99</v>
      </c>
      <c r="B19" s="95"/>
      <c r="C19" s="96"/>
    </row>
  </sheetData>
  <mergeCells count="3">
    <mergeCell ref="A17:C17"/>
    <mergeCell ref="A18:C18"/>
    <mergeCell ref="A19:C19"/>
  </mergeCells>
  <pageMargins left="0.7" right="0.7" top="0.75" bottom="0.75" header="0.3" footer="0.3"/>
  <pageSetup paperSize="8" scale="63"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B4CA-FB18-431A-9287-AAFEE4A805C3}">
  <sheetPr>
    <pageSetUpPr fitToPage="1"/>
  </sheetPr>
  <dimension ref="A1:C16"/>
  <sheetViews>
    <sheetView zoomScale="85" zoomScaleNormal="85" workbookViewId="0">
      <selection activeCell="F3" sqref="F3"/>
    </sheetView>
  </sheetViews>
  <sheetFormatPr defaultRowHeight="14.5" x14ac:dyDescent="0.35"/>
  <cols>
    <col min="1" max="1" width="31.54296875" customWidth="1"/>
    <col min="2" max="2" width="41.54296875" customWidth="1"/>
    <col min="3" max="3" width="120.54296875" customWidth="1"/>
  </cols>
  <sheetData>
    <row r="1" spans="1:3" ht="23.25" customHeight="1" thickBot="1" x14ac:dyDescent="0.4">
      <c r="A1" s="6" t="s">
        <v>78</v>
      </c>
      <c r="B1" s="7" t="s">
        <v>100</v>
      </c>
      <c r="C1" s="8" t="s">
        <v>80</v>
      </c>
    </row>
    <row r="2" spans="1:3" ht="15" thickBot="1" x14ac:dyDescent="0.4">
      <c r="A2" s="4" t="s">
        <v>16</v>
      </c>
      <c r="B2" s="21" t="s">
        <v>101</v>
      </c>
      <c r="C2" s="9" t="s">
        <v>102</v>
      </c>
    </row>
    <row r="3" spans="1:3" ht="87.5" thickBot="1" x14ac:dyDescent="0.4">
      <c r="A3" s="4" t="s">
        <v>17</v>
      </c>
      <c r="B3" s="21" t="s">
        <v>103</v>
      </c>
      <c r="C3" s="26" t="s">
        <v>127</v>
      </c>
    </row>
    <row r="4" spans="1:3" ht="58.5" thickBot="1" x14ac:dyDescent="0.4">
      <c r="A4" s="4" t="s">
        <v>18</v>
      </c>
      <c r="B4" s="21" t="s">
        <v>104</v>
      </c>
      <c r="C4" s="26" t="s">
        <v>105</v>
      </c>
    </row>
    <row r="5" spans="1:3" ht="15" thickBot="1" x14ac:dyDescent="0.4">
      <c r="A5" s="4" t="s">
        <v>106</v>
      </c>
      <c r="B5" s="21"/>
      <c r="C5" s="9"/>
    </row>
    <row r="6" spans="1:3" ht="15" thickBot="1" x14ac:dyDescent="0.4">
      <c r="A6" s="4" t="s">
        <v>107</v>
      </c>
      <c r="B6" s="21"/>
      <c r="C6" s="9"/>
    </row>
    <row r="7" spans="1:3" ht="15" thickBot="1" x14ac:dyDescent="0.4">
      <c r="A7" s="4" t="s">
        <v>108</v>
      </c>
      <c r="B7" s="21"/>
      <c r="C7" s="9"/>
    </row>
    <row r="8" spans="1:3" ht="15" thickBot="1" x14ac:dyDescent="0.4">
      <c r="A8" s="4" t="s">
        <v>109</v>
      </c>
      <c r="B8" s="21"/>
      <c r="C8" s="9"/>
    </row>
    <row r="9" spans="1:3" ht="15" thickBot="1" x14ac:dyDescent="0.4">
      <c r="A9" s="5" t="s">
        <v>110</v>
      </c>
      <c r="B9" s="23"/>
      <c r="C9" s="10"/>
    </row>
    <row r="10" spans="1:3" ht="15" thickBot="1" x14ac:dyDescent="0.4">
      <c r="A10" s="4" t="s">
        <v>111</v>
      </c>
      <c r="B10" s="21"/>
      <c r="C10" s="9"/>
    </row>
    <row r="11" spans="1:3" ht="15" thickBot="1" x14ac:dyDescent="0.4">
      <c r="A11" s="4" t="s">
        <v>112</v>
      </c>
      <c r="B11" s="21"/>
      <c r="C11" s="9"/>
    </row>
    <row r="13" spans="1:3" ht="15" thickBot="1" x14ac:dyDescent="0.4"/>
    <row r="14" spans="1:3" x14ac:dyDescent="0.35">
      <c r="A14" s="97" t="s">
        <v>113</v>
      </c>
      <c r="B14" s="98"/>
      <c r="C14" s="99"/>
    </row>
    <row r="15" spans="1:3" x14ac:dyDescent="0.35">
      <c r="A15" s="100" t="s">
        <v>114</v>
      </c>
      <c r="B15" s="101"/>
      <c r="C15" s="102"/>
    </row>
    <row r="16" spans="1:3" ht="15" thickBot="1" x14ac:dyDescent="0.4">
      <c r="A16" s="94" t="s">
        <v>115</v>
      </c>
      <c r="B16" s="95"/>
      <c r="C16" s="96"/>
    </row>
  </sheetData>
  <mergeCells count="3">
    <mergeCell ref="A14:C14"/>
    <mergeCell ref="A15:C15"/>
    <mergeCell ref="A16:C16"/>
  </mergeCells>
  <pageMargins left="0.7" right="0.7" top="0.75" bottom="0.75" header="0.3" footer="0.3"/>
  <pageSetup paperSize="8" scale="99" orientation="landscape" verticalDpi="2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7EDCA-D610-4350-BFC8-7B80C2E48A7C}">
  <dimension ref="A1:BN62"/>
  <sheetViews>
    <sheetView topLeftCell="A10" zoomScale="60" zoomScaleNormal="60" workbookViewId="0">
      <selection activeCell="W5" sqref="W5"/>
    </sheetView>
  </sheetViews>
  <sheetFormatPr defaultRowHeight="14.5" x14ac:dyDescent="0.35"/>
  <cols>
    <col min="3" max="3" width="9.1796875" bestFit="1" customWidth="1"/>
    <col min="4" max="8" width="11.54296875" bestFit="1" customWidth="1"/>
    <col min="9" max="9" width="11.26953125" bestFit="1" customWidth="1"/>
    <col min="10" max="18" width="11.54296875" bestFit="1" customWidth="1"/>
    <col min="19" max="19" width="11.26953125" bestFit="1" customWidth="1"/>
    <col min="20" max="28" width="11.54296875" bestFit="1" customWidth="1"/>
    <col min="29" max="29" width="11.26953125" bestFit="1" customWidth="1"/>
    <col min="30" max="38" width="11.54296875" bestFit="1" customWidth="1"/>
    <col min="39" max="39" width="11.26953125" bestFit="1" customWidth="1"/>
    <col min="40" max="48" width="11.54296875" bestFit="1" customWidth="1"/>
    <col min="49" max="49" width="11.26953125" bestFit="1" customWidth="1"/>
    <col min="50" max="58" width="11.54296875" bestFit="1" customWidth="1"/>
    <col min="59" max="59" width="11.26953125" bestFit="1" customWidth="1"/>
    <col min="60" max="66" width="11.54296875" bestFit="1" customWidth="1"/>
  </cols>
  <sheetData>
    <row r="1" spans="1:66" x14ac:dyDescent="0.35">
      <c r="C1" s="48">
        <v>46023</v>
      </c>
      <c r="D1" s="49">
        <f>EOMONTH(C1,11)</f>
        <v>46387</v>
      </c>
      <c r="E1" s="49">
        <f t="shared" ref="E1:BN1" si="0">EOMONTH(D1,12)</f>
        <v>46752</v>
      </c>
      <c r="F1" s="49">
        <f t="shared" si="0"/>
        <v>47118</v>
      </c>
      <c r="G1" s="49">
        <f t="shared" si="0"/>
        <v>47483</v>
      </c>
      <c r="H1" s="49">
        <f t="shared" si="0"/>
        <v>47848</v>
      </c>
      <c r="I1" s="49">
        <f t="shared" si="0"/>
        <v>48213</v>
      </c>
      <c r="J1" s="49">
        <f t="shared" si="0"/>
        <v>48579</v>
      </c>
      <c r="K1" s="49">
        <f t="shared" si="0"/>
        <v>48944</v>
      </c>
      <c r="L1" s="49">
        <f t="shared" si="0"/>
        <v>49309</v>
      </c>
      <c r="M1" s="49">
        <f t="shared" si="0"/>
        <v>49674</v>
      </c>
      <c r="N1" s="49">
        <f t="shared" si="0"/>
        <v>50040</v>
      </c>
      <c r="O1" s="49">
        <f t="shared" si="0"/>
        <v>50405</v>
      </c>
      <c r="P1" s="49">
        <f t="shared" si="0"/>
        <v>50770</v>
      </c>
      <c r="Q1" s="49">
        <f t="shared" si="0"/>
        <v>51135</v>
      </c>
      <c r="R1" s="49">
        <f t="shared" si="0"/>
        <v>51501</v>
      </c>
      <c r="S1" s="49">
        <f t="shared" si="0"/>
        <v>51866</v>
      </c>
      <c r="T1" s="49">
        <f t="shared" si="0"/>
        <v>52231</v>
      </c>
      <c r="U1" s="49">
        <f t="shared" si="0"/>
        <v>52596</v>
      </c>
      <c r="V1" s="49">
        <f t="shared" si="0"/>
        <v>52962</v>
      </c>
      <c r="W1" s="49">
        <f t="shared" si="0"/>
        <v>53327</v>
      </c>
      <c r="X1" s="49">
        <f t="shared" si="0"/>
        <v>53692</v>
      </c>
      <c r="Y1" s="49">
        <f t="shared" si="0"/>
        <v>54057</v>
      </c>
      <c r="Z1" s="49">
        <f t="shared" si="0"/>
        <v>54423</v>
      </c>
      <c r="AA1" s="49">
        <f t="shared" si="0"/>
        <v>54788</v>
      </c>
      <c r="AB1" s="49">
        <f t="shared" si="0"/>
        <v>55153</v>
      </c>
      <c r="AC1" s="49">
        <f t="shared" si="0"/>
        <v>55518</v>
      </c>
      <c r="AD1" s="49">
        <f t="shared" si="0"/>
        <v>55884</v>
      </c>
      <c r="AE1" s="49">
        <f t="shared" si="0"/>
        <v>56249</v>
      </c>
      <c r="AF1" s="49">
        <f t="shared" si="0"/>
        <v>56614</v>
      </c>
      <c r="AG1" s="49">
        <f t="shared" si="0"/>
        <v>56979</v>
      </c>
      <c r="AH1" s="49">
        <f t="shared" si="0"/>
        <v>57345</v>
      </c>
      <c r="AI1" s="49">
        <f t="shared" si="0"/>
        <v>57710</v>
      </c>
      <c r="AJ1" s="49">
        <f t="shared" si="0"/>
        <v>58075</v>
      </c>
      <c r="AK1" s="49">
        <f t="shared" si="0"/>
        <v>58440</v>
      </c>
      <c r="AL1" s="49">
        <f t="shared" si="0"/>
        <v>58806</v>
      </c>
      <c r="AM1" s="49">
        <f t="shared" si="0"/>
        <v>59171</v>
      </c>
      <c r="AN1" s="49">
        <f t="shared" si="0"/>
        <v>59536</v>
      </c>
      <c r="AO1" s="49">
        <f t="shared" si="0"/>
        <v>59901</v>
      </c>
      <c r="AP1" s="49">
        <f t="shared" si="0"/>
        <v>60267</v>
      </c>
      <c r="AQ1" s="49">
        <f t="shared" si="0"/>
        <v>60632</v>
      </c>
      <c r="AR1" s="49">
        <f t="shared" si="0"/>
        <v>60997</v>
      </c>
      <c r="AS1" s="49">
        <f t="shared" si="0"/>
        <v>61362</v>
      </c>
      <c r="AT1" s="49">
        <f t="shared" si="0"/>
        <v>61728</v>
      </c>
      <c r="AU1" s="49">
        <f t="shared" si="0"/>
        <v>62093</v>
      </c>
      <c r="AV1" s="49">
        <f t="shared" si="0"/>
        <v>62458</v>
      </c>
      <c r="AW1" s="49">
        <f t="shared" si="0"/>
        <v>62823</v>
      </c>
      <c r="AX1" s="49">
        <f t="shared" si="0"/>
        <v>63189</v>
      </c>
      <c r="AY1" s="49">
        <f t="shared" si="0"/>
        <v>63554</v>
      </c>
      <c r="AZ1" s="49">
        <f t="shared" si="0"/>
        <v>63919</v>
      </c>
      <c r="BA1" s="49">
        <f t="shared" si="0"/>
        <v>64284</v>
      </c>
      <c r="BB1" s="49">
        <f t="shared" si="0"/>
        <v>64650</v>
      </c>
      <c r="BC1" s="49">
        <f t="shared" si="0"/>
        <v>65015</v>
      </c>
      <c r="BD1" s="49">
        <f t="shared" si="0"/>
        <v>65380</v>
      </c>
      <c r="BE1" s="49">
        <f t="shared" si="0"/>
        <v>65745</v>
      </c>
      <c r="BF1" s="49">
        <f t="shared" si="0"/>
        <v>66111</v>
      </c>
      <c r="BG1" s="49">
        <f t="shared" si="0"/>
        <v>66476</v>
      </c>
      <c r="BH1" s="49">
        <f t="shared" si="0"/>
        <v>66841</v>
      </c>
      <c r="BI1" s="49">
        <f t="shared" si="0"/>
        <v>67206</v>
      </c>
      <c r="BJ1" s="49">
        <f t="shared" si="0"/>
        <v>67572</v>
      </c>
      <c r="BK1" s="49">
        <f t="shared" si="0"/>
        <v>67937</v>
      </c>
      <c r="BL1" s="49">
        <f t="shared" si="0"/>
        <v>68302</v>
      </c>
      <c r="BM1" s="49">
        <f t="shared" si="0"/>
        <v>68667</v>
      </c>
      <c r="BN1" s="49">
        <f t="shared" si="0"/>
        <v>69033</v>
      </c>
    </row>
    <row r="2" spans="1:66" x14ac:dyDescent="0.35">
      <c r="D2">
        <f>YEAR(D1)</f>
        <v>2026</v>
      </c>
      <c r="E2">
        <f t="shared" ref="E2:BN2" si="1">YEAR(E1)</f>
        <v>2027</v>
      </c>
      <c r="F2">
        <f t="shared" si="1"/>
        <v>2028</v>
      </c>
      <c r="G2">
        <f t="shared" si="1"/>
        <v>2029</v>
      </c>
      <c r="H2">
        <f t="shared" si="1"/>
        <v>2030</v>
      </c>
      <c r="I2">
        <f t="shared" si="1"/>
        <v>2031</v>
      </c>
      <c r="J2">
        <f t="shared" si="1"/>
        <v>2032</v>
      </c>
      <c r="K2">
        <f t="shared" si="1"/>
        <v>2033</v>
      </c>
      <c r="L2">
        <f t="shared" si="1"/>
        <v>2034</v>
      </c>
      <c r="M2">
        <f t="shared" si="1"/>
        <v>2035</v>
      </c>
      <c r="N2">
        <f t="shared" si="1"/>
        <v>2036</v>
      </c>
      <c r="O2">
        <f t="shared" si="1"/>
        <v>2037</v>
      </c>
      <c r="P2">
        <f t="shared" si="1"/>
        <v>2038</v>
      </c>
      <c r="Q2">
        <f t="shared" si="1"/>
        <v>2039</v>
      </c>
      <c r="R2">
        <f t="shared" si="1"/>
        <v>2040</v>
      </c>
      <c r="S2">
        <f t="shared" si="1"/>
        <v>2041</v>
      </c>
      <c r="T2">
        <f t="shared" si="1"/>
        <v>2042</v>
      </c>
      <c r="U2">
        <f t="shared" si="1"/>
        <v>2043</v>
      </c>
      <c r="V2">
        <f t="shared" si="1"/>
        <v>2044</v>
      </c>
      <c r="W2">
        <f t="shared" si="1"/>
        <v>2045</v>
      </c>
      <c r="X2">
        <f t="shared" si="1"/>
        <v>2046</v>
      </c>
      <c r="Y2">
        <f t="shared" si="1"/>
        <v>2047</v>
      </c>
      <c r="Z2">
        <f t="shared" si="1"/>
        <v>2048</v>
      </c>
      <c r="AA2">
        <f t="shared" si="1"/>
        <v>2049</v>
      </c>
      <c r="AB2">
        <f t="shared" si="1"/>
        <v>2050</v>
      </c>
      <c r="AC2">
        <f t="shared" si="1"/>
        <v>2051</v>
      </c>
      <c r="AD2">
        <f t="shared" si="1"/>
        <v>2052</v>
      </c>
      <c r="AE2">
        <f t="shared" si="1"/>
        <v>2053</v>
      </c>
      <c r="AF2">
        <f t="shared" si="1"/>
        <v>2054</v>
      </c>
      <c r="AG2">
        <f t="shared" si="1"/>
        <v>2055</v>
      </c>
      <c r="AH2">
        <f t="shared" si="1"/>
        <v>2056</v>
      </c>
      <c r="AI2">
        <f t="shared" si="1"/>
        <v>2057</v>
      </c>
      <c r="AJ2">
        <f t="shared" si="1"/>
        <v>2058</v>
      </c>
      <c r="AK2">
        <f t="shared" si="1"/>
        <v>2059</v>
      </c>
      <c r="AL2">
        <f t="shared" si="1"/>
        <v>2060</v>
      </c>
      <c r="AM2">
        <f t="shared" si="1"/>
        <v>2061</v>
      </c>
      <c r="AN2">
        <f t="shared" si="1"/>
        <v>2062</v>
      </c>
      <c r="AO2">
        <f t="shared" si="1"/>
        <v>2063</v>
      </c>
      <c r="AP2">
        <f t="shared" si="1"/>
        <v>2064</v>
      </c>
      <c r="AQ2">
        <f t="shared" si="1"/>
        <v>2065</v>
      </c>
      <c r="AR2">
        <f t="shared" si="1"/>
        <v>2066</v>
      </c>
      <c r="AS2">
        <f t="shared" si="1"/>
        <v>2067</v>
      </c>
      <c r="AT2">
        <f t="shared" si="1"/>
        <v>2068</v>
      </c>
      <c r="AU2">
        <f t="shared" si="1"/>
        <v>2069</v>
      </c>
      <c r="AV2">
        <f t="shared" si="1"/>
        <v>2070</v>
      </c>
      <c r="AW2">
        <f t="shared" si="1"/>
        <v>2071</v>
      </c>
      <c r="AX2">
        <f t="shared" si="1"/>
        <v>2072</v>
      </c>
      <c r="AY2">
        <f t="shared" si="1"/>
        <v>2073</v>
      </c>
      <c r="AZ2">
        <f t="shared" si="1"/>
        <v>2074</v>
      </c>
      <c r="BA2">
        <f t="shared" si="1"/>
        <v>2075</v>
      </c>
      <c r="BB2">
        <f t="shared" si="1"/>
        <v>2076</v>
      </c>
      <c r="BC2">
        <f t="shared" si="1"/>
        <v>2077</v>
      </c>
      <c r="BD2">
        <f t="shared" si="1"/>
        <v>2078</v>
      </c>
      <c r="BE2">
        <f t="shared" si="1"/>
        <v>2079</v>
      </c>
      <c r="BF2">
        <f t="shared" si="1"/>
        <v>2080</v>
      </c>
      <c r="BG2">
        <f t="shared" si="1"/>
        <v>2081</v>
      </c>
      <c r="BH2">
        <f t="shared" si="1"/>
        <v>2082</v>
      </c>
      <c r="BI2">
        <f t="shared" si="1"/>
        <v>2083</v>
      </c>
      <c r="BJ2">
        <f t="shared" si="1"/>
        <v>2084</v>
      </c>
      <c r="BK2">
        <f t="shared" si="1"/>
        <v>2085</v>
      </c>
      <c r="BL2">
        <f t="shared" si="1"/>
        <v>2086</v>
      </c>
      <c r="BM2">
        <f t="shared" si="1"/>
        <v>2087</v>
      </c>
      <c r="BN2">
        <f t="shared" si="1"/>
        <v>2088</v>
      </c>
    </row>
    <row r="4" spans="1:66" x14ac:dyDescent="0.35">
      <c r="A4" t="s">
        <v>0</v>
      </c>
    </row>
    <row r="5" spans="1:66" x14ac:dyDescent="0.35">
      <c r="B5" t="s">
        <v>1</v>
      </c>
      <c r="D5" s="53"/>
      <c r="E5" s="54">
        <v>65.500711716131164</v>
      </c>
      <c r="F5" s="54">
        <v>14.766445916114794</v>
      </c>
      <c r="G5" s="54">
        <v>52.445298422042356</v>
      </c>
      <c r="H5" s="54">
        <v>130.16836930749736</v>
      </c>
      <c r="I5" s="54">
        <v>35.30469708118715</v>
      </c>
      <c r="J5" s="54">
        <v>31.091572234486147</v>
      </c>
      <c r="K5" s="54">
        <v>25.331486387049303</v>
      </c>
      <c r="L5" s="54">
        <v>32.663925271850218</v>
      </c>
      <c r="M5" s="54">
        <v>29.171543618673869</v>
      </c>
      <c r="N5" s="54">
        <v>25.208432671081681</v>
      </c>
      <c r="O5" s="54">
        <v>24.973068023873772</v>
      </c>
      <c r="P5" s="54">
        <v>51.988241762734042</v>
      </c>
      <c r="Q5" s="54">
        <v>63.599238819393356</v>
      </c>
      <c r="R5" s="54">
        <v>18.913160820865016</v>
      </c>
      <c r="S5" s="54">
        <v>29.621763960428424</v>
      </c>
      <c r="T5" s="54">
        <v>27.946866159757999</v>
      </c>
      <c r="U5" s="54">
        <v>35.089841386640508</v>
      </c>
      <c r="V5" s="54">
        <v>12.757545172103674</v>
      </c>
      <c r="W5" s="54">
        <v>1.6055580083394654</v>
      </c>
      <c r="X5" s="50"/>
      <c r="Y5" s="50"/>
      <c r="Z5" s="50"/>
      <c r="AA5" s="50"/>
      <c r="AB5" s="50"/>
      <c r="AC5" s="50"/>
    </row>
    <row r="6" spans="1:66" x14ac:dyDescent="0.35">
      <c r="B6" t="s">
        <v>2</v>
      </c>
      <c r="D6" s="53"/>
      <c r="E6" s="54">
        <v>146.53549014798466</v>
      </c>
      <c r="F6" s="54">
        <v>159.32917014144391</v>
      </c>
      <c r="G6" s="54">
        <v>10.934201618837385</v>
      </c>
      <c r="H6" s="54">
        <v>100.87767844002946</v>
      </c>
      <c r="I6" s="54">
        <v>145.82255988880718</v>
      </c>
      <c r="J6" s="54">
        <v>0</v>
      </c>
      <c r="K6" s="54">
        <v>22.221938516883334</v>
      </c>
      <c r="L6" s="54">
        <v>0</v>
      </c>
      <c r="M6" s="54">
        <v>0</v>
      </c>
      <c r="N6" s="54">
        <v>0</v>
      </c>
      <c r="O6" s="54">
        <v>0</v>
      </c>
      <c r="P6" s="54">
        <v>0</v>
      </c>
      <c r="Q6" s="54">
        <v>139.53119450576409</v>
      </c>
      <c r="R6" s="54">
        <v>0</v>
      </c>
      <c r="S6" s="54">
        <v>0</v>
      </c>
      <c r="T6" s="54">
        <v>0</v>
      </c>
      <c r="U6" s="54">
        <v>0</v>
      </c>
      <c r="V6" s="54">
        <v>0</v>
      </c>
      <c r="W6" s="54">
        <v>0</v>
      </c>
      <c r="X6" s="51"/>
      <c r="Y6" s="51"/>
      <c r="Z6" s="51"/>
      <c r="AA6" s="51"/>
      <c r="AB6" s="51"/>
      <c r="AC6" s="51"/>
    </row>
    <row r="7" spans="1:66" x14ac:dyDescent="0.35">
      <c r="B7" t="s">
        <v>3</v>
      </c>
      <c r="D7" s="53"/>
      <c r="E7" s="54">
        <v>65.2</v>
      </c>
      <c r="F7" s="54"/>
      <c r="G7" s="54"/>
      <c r="H7" s="54"/>
      <c r="I7" s="54"/>
      <c r="J7" s="54"/>
      <c r="K7" s="54"/>
      <c r="L7" s="54"/>
      <c r="M7" s="54"/>
      <c r="N7" s="54"/>
      <c r="O7" s="54"/>
      <c r="P7" s="54"/>
      <c r="Q7" s="54"/>
      <c r="R7" s="54"/>
      <c r="S7" s="54"/>
      <c r="T7" s="54"/>
      <c r="U7" s="54"/>
      <c r="V7" s="54"/>
      <c r="W7" s="54"/>
    </row>
    <row r="8" spans="1:66" x14ac:dyDescent="0.35">
      <c r="B8" t="s">
        <v>4</v>
      </c>
      <c r="D8" s="53"/>
      <c r="E8" s="54">
        <v>216.9</v>
      </c>
      <c r="F8" s="54"/>
      <c r="G8" s="54"/>
      <c r="H8" s="54"/>
      <c r="I8" s="54"/>
      <c r="J8" s="54"/>
      <c r="K8" s="54"/>
      <c r="L8" s="54"/>
      <c r="M8" s="54"/>
      <c r="N8" s="54"/>
      <c r="O8" s="54"/>
      <c r="P8" s="54">
        <v>43.4</v>
      </c>
      <c r="Q8" s="54"/>
      <c r="R8" s="54"/>
      <c r="S8" s="54"/>
      <c r="T8" s="54"/>
      <c r="U8" s="54"/>
      <c r="V8" s="54"/>
      <c r="W8" s="54"/>
    </row>
    <row r="9" spans="1:66" x14ac:dyDescent="0.35">
      <c r="B9" t="s">
        <v>5</v>
      </c>
      <c r="D9" s="53"/>
      <c r="E9" s="54">
        <f>0.75*313.9</f>
        <v>235.42499999999998</v>
      </c>
      <c r="F9" s="54"/>
      <c r="G9" s="54"/>
      <c r="H9" s="54"/>
      <c r="I9" s="54"/>
      <c r="J9" s="54"/>
      <c r="K9" s="54"/>
      <c r="L9" s="54"/>
      <c r="M9" s="54"/>
      <c r="N9" s="54"/>
      <c r="O9" s="54"/>
      <c r="P9" s="54">
        <f>0.25*313.9</f>
        <v>78.474999999999994</v>
      </c>
      <c r="Q9" s="54"/>
      <c r="R9" s="54"/>
      <c r="S9" s="54"/>
      <c r="T9" s="54"/>
      <c r="U9" s="54"/>
      <c r="V9" s="54"/>
      <c r="W9" s="54"/>
    </row>
    <row r="10" spans="1:66" x14ac:dyDescent="0.35">
      <c r="E10" s="52"/>
      <c r="F10" s="52"/>
      <c r="G10" s="52"/>
      <c r="H10" s="52"/>
      <c r="I10" s="52"/>
      <c r="J10" s="52"/>
      <c r="K10" s="52"/>
      <c r="L10" s="52"/>
      <c r="M10" s="52"/>
      <c r="N10" s="52"/>
      <c r="O10" s="52"/>
      <c r="P10" s="52"/>
      <c r="Q10" s="52"/>
      <c r="R10" s="52"/>
      <c r="S10" s="52"/>
      <c r="T10" s="52"/>
      <c r="U10" s="52"/>
      <c r="V10" s="52"/>
      <c r="W10" s="52"/>
    </row>
    <row r="11" spans="1:66" x14ac:dyDescent="0.35">
      <c r="A11" t="s">
        <v>119</v>
      </c>
    </row>
    <row r="12" spans="1:66" x14ac:dyDescent="0.35">
      <c r="B12" t="s">
        <v>122</v>
      </c>
      <c r="D12" s="51">
        <f>IFERROR(INDEX('RA1- Elevated Dumps Upper'!$A$8:$BN$8,1,MATCH(Summary!D$1,'RA1- Elevated Dumps Upper'!$A$7:$BN$7,1)),0)+IFERROR(INDEX('RA2-Elevated Dumps Slopes'!$A$8:$BN$8,1,MATCH(Summary!D$1,'RA2-Elevated Dumps Slopes'!$A$7:$BN$7,1)),0)+IFERROR(INDEX('RA3-Backfilled Pits'!$A$8:$BN$8,1,MATCH(Summary!D$1,'RA3-Backfilled Pits'!$A$7:$BN$7,1)),0)+IFERROR(INDEX('RA4-Tracks_Roads'!$A$8:$BN$8,1,MATCH(Summary!D$1,'RA4-Tracks_Roads'!$A$7:$BN$7,1)),0)+IFERROR(INDEX('RA5-ROM'!$A$8:$BN$8,1,MATCH(Summary!D$1,'RA5-ROM'!$A$7:$BN$7,1)),0)+IFERROR(INDEX('RA6-CHPP'!$A$8:$BN$8,1,MATCH(Summary!D$1,'RA6-CHPP'!$A$7:$BN$7,1)),0)+IFERROR(INDEX('RA7-Mine Infrastructure Area'!$A$8:$BN$8,1,MATCH(Summary!D$1,'RA7-Mine Infrastructure Area'!$A$7:$BN$7,1)),0)+IFERROR(INDEX('RA8-Water Management Structures'!$A$8:$BN$8,1,MATCH(Summary!D$1,'RA8-Water Management Structures'!$A$7:$BN$7,1)),0)+IFERROR(INDEX('RA9-Codisposal Upper'!$A$8:$BN$8,1,MATCH(Summary!D$1,'RA9-Codisposal Upper'!$A$7:$BN$7,1)),0)+IFERROR(INDEX('RA10-Codisposal Slopes'!$A$8:$BN$8,1,MATCH(Summary!D$1,'RA10-Codisposal Slopes'!$A$7:$BN$7,1)),0)+IFERROR(INDEX('IA1-Final Void inc Ramps'!$A$8:$BN$8,1,MATCH(Summary!D$1,'IA1-Final Void inc Ramps'!$A$7:$BN$7,1)),0)</f>
        <v>0</v>
      </c>
      <c r="E12" s="51">
        <f>IFERROR(INDEX('RA1- Elevated Dumps Upper'!$A$8:$BN$8,1,MATCH(Summary!E$1,'RA1- Elevated Dumps Upper'!$A$7:$BN$7,1)),0)+IFERROR(INDEX('RA2-Elevated Dumps Slopes'!$A$8:$BN$8,1,MATCH(Summary!E$1,'RA2-Elevated Dumps Slopes'!$A$7:$BN$7,1)),0)+IFERROR(INDEX('RA3-Backfilled Pits'!$A$8:$BN$8,1,MATCH(Summary!E$1,'RA3-Backfilled Pits'!$A$7:$BN$7,1)),0)+IFERROR(INDEX('RA4-Tracks_Roads'!$A$8:$BN$8,1,MATCH(Summary!E$1,'RA4-Tracks_Roads'!$A$7:$BN$7,1)),0)+IFERROR(INDEX('RA5-ROM'!$A$8:$BN$8,1,MATCH(Summary!E$1,'RA5-ROM'!$A$7:$BN$7,1)),0)+IFERROR(INDEX('RA6-CHPP'!$A$8:$BN$8,1,MATCH(Summary!E$1,'RA6-CHPP'!$A$7:$BN$7,1)),0)+IFERROR(INDEX('RA7-Mine Infrastructure Area'!$A$8:$BN$8,1,MATCH(Summary!E$1,'RA7-Mine Infrastructure Area'!$A$7:$BN$7,1)),0)+IFERROR(INDEX('RA8-Water Management Structures'!$A$8:$BN$8,1,MATCH(Summary!E$1,'RA8-Water Management Structures'!$A$7:$BN$7,1)),0)+IFERROR(INDEX('RA9-Codisposal Upper'!$A$8:$BN$8,1,MATCH(Summary!E$1,'RA9-Codisposal Upper'!$A$7:$BN$7,1)),0)+IFERROR(INDEX('RA10-Codisposal Slopes'!$A$8:$BN$8,1,MATCH(Summary!E$1,'RA10-Codisposal Slopes'!$A$7:$BN$7,1)),0)+IFERROR(INDEX('IA1-Final Void inc Ramps'!$A$8:$BN$8,1,MATCH(Summary!E$1,'IA1-Final Void inc Ramps'!$A$7:$BN$7,1)),0)</f>
        <v>0</v>
      </c>
      <c r="F12" s="51">
        <f>IFERROR(INDEX('RA1- Elevated Dumps Upper'!$A$8:$BN$8,1,MATCH(Summary!F$1,'RA1- Elevated Dumps Upper'!$A$7:$BN$7,1)),0)+IFERROR(INDEX('RA2-Elevated Dumps Slopes'!$A$8:$BN$8,1,MATCH(Summary!F$1,'RA2-Elevated Dumps Slopes'!$A$7:$BN$7,1)),0)+IFERROR(INDEX('RA3-Backfilled Pits'!$A$8:$BN$8,1,MATCH(Summary!F$1,'RA3-Backfilled Pits'!$A$7:$BN$7,1)),0)+IFERROR(INDEX('RA4-Tracks_Roads'!$A$8:$BN$8,1,MATCH(Summary!F$1,'RA4-Tracks_Roads'!$A$7:$BN$7,1)),0)+IFERROR(INDEX('RA5-ROM'!$A$8:$BN$8,1,MATCH(Summary!F$1,'RA5-ROM'!$A$7:$BN$7,1)),0)+IFERROR(INDEX('RA6-CHPP'!$A$8:$BN$8,1,MATCH(Summary!F$1,'RA6-CHPP'!$A$7:$BN$7,1)),0)+IFERROR(INDEX('RA7-Mine Infrastructure Area'!$A$8:$BN$8,1,MATCH(Summary!F$1,'RA7-Mine Infrastructure Area'!$A$7:$BN$7,1)),0)+IFERROR(INDEX('RA8-Water Management Structures'!$A$8:$BN$8,1,MATCH(Summary!F$1,'RA8-Water Management Structures'!$A$7:$BN$7,1)),0)+IFERROR(INDEX('RA9-Codisposal Upper'!$A$8:$BN$8,1,MATCH(Summary!F$1,'RA9-Codisposal Upper'!$A$7:$BN$7,1)),0)+IFERROR(INDEX('RA10-Codisposal Slopes'!$A$8:$BN$8,1,MATCH(Summary!F$1,'RA10-Codisposal Slopes'!$A$7:$BN$7,1)),0)+IFERROR(INDEX('IA1-Final Void inc Ramps'!$A$8:$BN$8,1,MATCH(Summary!F$1,'IA1-Final Void inc Ramps'!$A$7:$BN$7,1)),0)</f>
        <v>33.869</v>
      </c>
      <c r="G12" s="51">
        <f>IFERROR(INDEX('RA1- Elevated Dumps Upper'!$A$8:$BN$8,1,MATCH(Summary!G$1,'RA1- Elevated Dumps Upper'!$A$7:$BN$7,1)),0)+IFERROR(INDEX('RA2-Elevated Dumps Slopes'!$A$8:$BN$8,1,MATCH(Summary!G$1,'RA2-Elevated Dumps Slopes'!$A$7:$BN$7,1)),0)+IFERROR(INDEX('RA3-Backfilled Pits'!$A$8:$BN$8,1,MATCH(Summary!G$1,'RA3-Backfilled Pits'!$A$7:$BN$7,1)),0)+IFERROR(INDEX('RA4-Tracks_Roads'!$A$8:$BN$8,1,MATCH(Summary!G$1,'RA4-Tracks_Roads'!$A$7:$BN$7,1)),0)+IFERROR(INDEX('RA5-ROM'!$A$8:$BN$8,1,MATCH(Summary!G$1,'RA5-ROM'!$A$7:$BN$7,1)),0)+IFERROR(INDEX('RA6-CHPP'!$A$8:$BN$8,1,MATCH(Summary!G$1,'RA6-CHPP'!$A$7:$BN$7,1)),0)+IFERROR(INDEX('RA7-Mine Infrastructure Area'!$A$8:$BN$8,1,MATCH(Summary!G$1,'RA7-Mine Infrastructure Area'!$A$7:$BN$7,1)),0)+IFERROR(INDEX('RA8-Water Management Structures'!$A$8:$BN$8,1,MATCH(Summary!G$1,'RA8-Water Management Structures'!$A$7:$BN$7,1)),0)+IFERROR(INDEX('RA9-Codisposal Upper'!$A$8:$BN$8,1,MATCH(Summary!G$1,'RA9-Codisposal Upper'!$A$7:$BN$7,1)),0)+IFERROR(INDEX('RA10-Codisposal Slopes'!$A$8:$BN$8,1,MATCH(Summary!G$1,'RA10-Codisposal Slopes'!$A$7:$BN$7,1)),0)+IFERROR(INDEX('IA1-Final Void inc Ramps'!$A$8:$BN$8,1,MATCH(Summary!G$1,'IA1-Final Void inc Ramps'!$A$7:$BN$7,1)),0)</f>
        <v>78.697000000000003</v>
      </c>
      <c r="H12" s="51">
        <f>IFERROR(INDEX('RA1- Elevated Dumps Upper'!$A$8:$BN$8,1,MATCH(Summary!H$1,'RA1- Elevated Dumps Upper'!$A$7:$BN$7,1)),0)+IFERROR(INDEX('RA2-Elevated Dumps Slopes'!$A$8:$BN$8,1,MATCH(Summary!H$1,'RA2-Elevated Dumps Slopes'!$A$7:$BN$7,1)),0)+IFERROR(INDEX('RA3-Backfilled Pits'!$A$8:$BN$8,1,MATCH(Summary!H$1,'RA3-Backfilled Pits'!$A$7:$BN$7,1)),0)+IFERROR(INDEX('RA4-Tracks_Roads'!$A$8:$BN$8,1,MATCH(Summary!H$1,'RA4-Tracks_Roads'!$A$7:$BN$7,1)),0)+IFERROR(INDEX('RA5-ROM'!$A$8:$BN$8,1,MATCH(Summary!H$1,'RA5-ROM'!$A$7:$BN$7,1)),0)+IFERROR(INDEX('RA6-CHPP'!$A$8:$BN$8,1,MATCH(Summary!H$1,'RA6-CHPP'!$A$7:$BN$7,1)),0)+IFERROR(INDEX('RA7-Mine Infrastructure Area'!$A$8:$BN$8,1,MATCH(Summary!H$1,'RA7-Mine Infrastructure Area'!$A$7:$BN$7,1)),0)+IFERROR(INDEX('RA8-Water Management Structures'!$A$8:$BN$8,1,MATCH(Summary!H$1,'RA8-Water Management Structures'!$A$7:$BN$7,1)),0)+IFERROR(INDEX('RA9-Codisposal Upper'!$A$8:$BN$8,1,MATCH(Summary!H$1,'RA9-Codisposal Upper'!$A$7:$BN$7,1)),0)+IFERROR(INDEX('RA10-Codisposal Slopes'!$A$8:$BN$8,1,MATCH(Summary!H$1,'RA10-Codisposal Slopes'!$A$7:$BN$7,1)),0)+IFERROR(INDEX('IA1-Final Void inc Ramps'!$A$8:$BN$8,1,MATCH(Summary!H$1,'IA1-Final Void inc Ramps'!$A$7:$BN$7,1)),0)</f>
        <v>129.40700000000001</v>
      </c>
      <c r="I12" s="51">
        <f>IFERROR(INDEX('RA1- Elevated Dumps Upper'!$A$8:$BN$8,1,MATCH(Summary!I$1,'RA1- Elevated Dumps Upper'!$A$7:$BN$7,1)),0)+IFERROR(INDEX('RA2-Elevated Dumps Slopes'!$A$8:$BN$8,1,MATCH(Summary!I$1,'RA2-Elevated Dumps Slopes'!$A$7:$BN$7,1)),0)+IFERROR(INDEX('RA3-Backfilled Pits'!$A$8:$BN$8,1,MATCH(Summary!I$1,'RA3-Backfilled Pits'!$A$7:$BN$7,1)),0)+IFERROR(INDEX('RA4-Tracks_Roads'!$A$8:$BN$8,1,MATCH(Summary!I$1,'RA4-Tracks_Roads'!$A$7:$BN$7,1)),0)+IFERROR(INDEX('RA5-ROM'!$A$8:$BN$8,1,MATCH(Summary!I$1,'RA5-ROM'!$A$7:$BN$7,1)),0)+IFERROR(INDEX('RA6-CHPP'!$A$8:$BN$8,1,MATCH(Summary!I$1,'RA6-CHPP'!$A$7:$BN$7,1)),0)+IFERROR(INDEX('RA7-Mine Infrastructure Area'!$A$8:$BN$8,1,MATCH(Summary!I$1,'RA7-Mine Infrastructure Area'!$A$7:$BN$7,1)),0)+IFERROR(INDEX('RA8-Water Management Structures'!$A$8:$BN$8,1,MATCH(Summary!I$1,'RA8-Water Management Structures'!$A$7:$BN$7,1)),0)+IFERROR(INDEX('RA9-Codisposal Upper'!$A$8:$BN$8,1,MATCH(Summary!I$1,'RA9-Codisposal Upper'!$A$7:$BN$7,1)),0)+IFERROR(INDEX('RA10-Codisposal Slopes'!$A$8:$BN$8,1,MATCH(Summary!I$1,'RA10-Codisposal Slopes'!$A$7:$BN$7,1)),0)+IFERROR(INDEX('IA1-Final Void inc Ramps'!$A$8:$BN$8,1,MATCH(Summary!I$1,'IA1-Final Void inc Ramps'!$A$7:$BN$7,1)),0)</f>
        <v>241.43900000000002</v>
      </c>
      <c r="J12" s="51">
        <f>IFERROR(INDEX('RA1- Elevated Dumps Upper'!$A$8:$BN$8,1,MATCH(Summary!J$1,'RA1- Elevated Dumps Upper'!$A$7:$BN$7,1)),0)+IFERROR(INDEX('RA2-Elevated Dumps Slopes'!$A$8:$BN$8,1,MATCH(Summary!J$1,'RA2-Elevated Dumps Slopes'!$A$7:$BN$7,1)),0)+IFERROR(INDEX('RA3-Backfilled Pits'!$A$8:$BN$8,1,MATCH(Summary!J$1,'RA3-Backfilled Pits'!$A$7:$BN$7,1)),0)+IFERROR(INDEX('RA4-Tracks_Roads'!$A$8:$BN$8,1,MATCH(Summary!J$1,'RA4-Tracks_Roads'!$A$7:$BN$7,1)),0)+IFERROR(INDEX('RA5-ROM'!$A$8:$BN$8,1,MATCH(Summary!J$1,'RA5-ROM'!$A$7:$BN$7,1)),0)+IFERROR(INDEX('RA6-CHPP'!$A$8:$BN$8,1,MATCH(Summary!J$1,'RA6-CHPP'!$A$7:$BN$7,1)),0)+IFERROR(INDEX('RA7-Mine Infrastructure Area'!$A$8:$BN$8,1,MATCH(Summary!J$1,'RA7-Mine Infrastructure Area'!$A$7:$BN$7,1)),0)+IFERROR(INDEX('RA8-Water Management Structures'!$A$8:$BN$8,1,MATCH(Summary!J$1,'RA8-Water Management Structures'!$A$7:$BN$7,1)),0)+IFERROR(INDEX('RA9-Codisposal Upper'!$A$8:$BN$8,1,MATCH(Summary!J$1,'RA9-Codisposal Upper'!$A$7:$BN$7,1)),0)+IFERROR(INDEX('RA10-Codisposal Slopes'!$A$8:$BN$8,1,MATCH(Summary!J$1,'RA10-Codisposal Slopes'!$A$7:$BN$7,1)),0)+IFERROR(INDEX('IA1-Final Void inc Ramps'!$A$8:$BN$8,1,MATCH(Summary!J$1,'IA1-Final Void inc Ramps'!$A$7:$BN$7,1)),0)</f>
        <v>433.27699999999999</v>
      </c>
      <c r="K12" s="51">
        <f>IFERROR(INDEX('RA1- Elevated Dumps Upper'!$A$8:$BN$8,1,MATCH(Summary!K$1,'RA1- Elevated Dumps Upper'!$A$7:$BN$7,1)),0)+IFERROR(INDEX('RA2-Elevated Dumps Slopes'!$A$8:$BN$8,1,MATCH(Summary!K$1,'RA2-Elevated Dumps Slopes'!$A$7:$BN$7,1)),0)+IFERROR(INDEX('RA3-Backfilled Pits'!$A$8:$BN$8,1,MATCH(Summary!K$1,'RA3-Backfilled Pits'!$A$7:$BN$7,1)),0)+IFERROR(INDEX('RA4-Tracks_Roads'!$A$8:$BN$8,1,MATCH(Summary!K$1,'RA4-Tracks_Roads'!$A$7:$BN$7,1)),0)+IFERROR(INDEX('RA5-ROM'!$A$8:$BN$8,1,MATCH(Summary!K$1,'RA5-ROM'!$A$7:$BN$7,1)),0)+IFERROR(INDEX('RA6-CHPP'!$A$8:$BN$8,1,MATCH(Summary!K$1,'RA6-CHPP'!$A$7:$BN$7,1)),0)+IFERROR(INDEX('RA7-Mine Infrastructure Area'!$A$8:$BN$8,1,MATCH(Summary!K$1,'RA7-Mine Infrastructure Area'!$A$7:$BN$7,1)),0)+IFERROR(INDEX('RA8-Water Management Structures'!$A$8:$BN$8,1,MATCH(Summary!K$1,'RA8-Water Management Structures'!$A$7:$BN$7,1)),0)+IFERROR(INDEX('RA9-Codisposal Upper'!$A$8:$BN$8,1,MATCH(Summary!K$1,'RA9-Codisposal Upper'!$A$7:$BN$7,1)),0)+IFERROR(INDEX('RA10-Codisposal Slopes'!$A$8:$BN$8,1,MATCH(Summary!K$1,'RA10-Codisposal Slopes'!$A$7:$BN$7,1)),0)+IFERROR(INDEX('IA1-Final Void inc Ramps'!$A$8:$BN$8,1,MATCH(Summary!K$1,'IA1-Final Void inc Ramps'!$A$7:$BN$7,1)),0)</f>
        <v>509.03999999999996</v>
      </c>
      <c r="L12" s="51">
        <f>IFERROR(INDEX('RA1- Elevated Dumps Upper'!$A$8:$BN$8,1,MATCH(Summary!L$1,'RA1- Elevated Dumps Upper'!$A$7:$BN$7,1)),0)+IFERROR(INDEX('RA2-Elevated Dumps Slopes'!$A$8:$BN$8,1,MATCH(Summary!L$1,'RA2-Elevated Dumps Slopes'!$A$7:$BN$7,1)),0)+IFERROR(INDEX('RA3-Backfilled Pits'!$A$8:$BN$8,1,MATCH(Summary!L$1,'RA3-Backfilled Pits'!$A$7:$BN$7,1)),0)+IFERROR(INDEX('RA4-Tracks_Roads'!$A$8:$BN$8,1,MATCH(Summary!L$1,'RA4-Tracks_Roads'!$A$7:$BN$7,1)),0)+IFERROR(INDEX('RA5-ROM'!$A$8:$BN$8,1,MATCH(Summary!L$1,'RA5-ROM'!$A$7:$BN$7,1)),0)+IFERROR(INDEX('RA6-CHPP'!$A$8:$BN$8,1,MATCH(Summary!L$1,'RA6-CHPP'!$A$7:$BN$7,1)),0)+IFERROR(INDEX('RA7-Mine Infrastructure Area'!$A$8:$BN$8,1,MATCH(Summary!L$1,'RA7-Mine Infrastructure Area'!$A$7:$BN$7,1)),0)+IFERROR(INDEX('RA8-Water Management Structures'!$A$8:$BN$8,1,MATCH(Summary!L$1,'RA8-Water Management Structures'!$A$7:$BN$7,1)),0)+IFERROR(INDEX('RA9-Codisposal Upper'!$A$8:$BN$8,1,MATCH(Summary!L$1,'RA9-Codisposal Upper'!$A$7:$BN$7,1)),0)+IFERROR(INDEX('RA10-Codisposal Slopes'!$A$8:$BN$8,1,MATCH(Summary!L$1,'RA10-Codisposal Slopes'!$A$7:$BN$7,1)),0)+IFERROR(INDEX('IA1-Final Void inc Ramps'!$A$8:$BN$8,1,MATCH(Summary!L$1,'IA1-Final Void inc Ramps'!$A$7:$BN$7,1)),0)</f>
        <v>543.51400000000001</v>
      </c>
      <c r="M12" s="51">
        <f>IFERROR(INDEX('RA1- Elevated Dumps Upper'!$A$8:$BN$8,1,MATCH(Summary!M$1,'RA1- Elevated Dumps Upper'!$A$7:$BN$7,1)),0)+IFERROR(INDEX('RA2-Elevated Dumps Slopes'!$A$8:$BN$8,1,MATCH(Summary!M$1,'RA2-Elevated Dumps Slopes'!$A$7:$BN$7,1)),0)+IFERROR(INDEX('RA3-Backfilled Pits'!$A$8:$BN$8,1,MATCH(Summary!M$1,'RA3-Backfilled Pits'!$A$7:$BN$7,1)),0)+IFERROR(INDEX('RA4-Tracks_Roads'!$A$8:$BN$8,1,MATCH(Summary!M$1,'RA4-Tracks_Roads'!$A$7:$BN$7,1)),0)+IFERROR(INDEX('RA5-ROM'!$A$8:$BN$8,1,MATCH(Summary!M$1,'RA5-ROM'!$A$7:$BN$7,1)),0)+IFERROR(INDEX('RA6-CHPP'!$A$8:$BN$8,1,MATCH(Summary!M$1,'RA6-CHPP'!$A$7:$BN$7,1)),0)+IFERROR(INDEX('RA7-Mine Infrastructure Area'!$A$8:$BN$8,1,MATCH(Summary!M$1,'RA7-Mine Infrastructure Area'!$A$7:$BN$7,1)),0)+IFERROR(INDEX('RA8-Water Management Structures'!$A$8:$BN$8,1,MATCH(Summary!M$1,'RA8-Water Management Structures'!$A$7:$BN$7,1)),0)+IFERROR(INDEX('RA9-Codisposal Upper'!$A$8:$BN$8,1,MATCH(Summary!M$1,'RA9-Codisposal Upper'!$A$7:$BN$7,1)),0)+IFERROR(INDEX('RA10-Codisposal Slopes'!$A$8:$BN$8,1,MATCH(Summary!M$1,'RA10-Codisposal Slopes'!$A$7:$BN$7,1)),0)+IFERROR(INDEX('IA1-Final Void inc Ramps'!$A$8:$BN$8,1,MATCH(Summary!M$1,'IA1-Final Void inc Ramps'!$A$7:$BN$7,1)),0)</f>
        <v>601.03399999999999</v>
      </c>
      <c r="N12" s="51">
        <f>IFERROR(INDEX('RA1- Elevated Dumps Upper'!$A$8:$BN$8,1,MATCH(Summary!N$1,'RA1- Elevated Dumps Upper'!$A$7:$BN$7,1)),0)+IFERROR(INDEX('RA2-Elevated Dumps Slopes'!$A$8:$BN$8,1,MATCH(Summary!N$1,'RA2-Elevated Dumps Slopes'!$A$7:$BN$7,1)),0)+IFERROR(INDEX('RA3-Backfilled Pits'!$A$8:$BN$8,1,MATCH(Summary!N$1,'RA3-Backfilled Pits'!$A$7:$BN$7,1)),0)+IFERROR(INDEX('RA4-Tracks_Roads'!$A$8:$BN$8,1,MATCH(Summary!N$1,'RA4-Tracks_Roads'!$A$7:$BN$7,1)),0)+IFERROR(INDEX('RA5-ROM'!$A$8:$BN$8,1,MATCH(Summary!N$1,'RA5-ROM'!$A$7:$BN$7,1)),0)+IFERROR(INDEX('RA6-CHPP'!$A$8:$BN$8,1,MATCH(Summary!N$1,'RA6-CHPP'!$A$7:$BN$7,1)),0)+IFERROR(INDEX('RA7-Mine Infrastructure Area'!$A$8:$BN$8,1,MATCH(Summary!N$1,'RA7-Mine Infrastructure Area'!$A$7:$BN$7,1)),0)+IFERROR(INDEX('RA8-Water Management Structures'!$A$8:$BN$8,1,MATCH(Summary!N$1,'RA8-Water Management Structures'!$A$7:$BN$7,1)),0)+IFERROR(INDEX('RA9-Codisposal Upper'!$A$8:$BN$8,1,MATCH(Summary!N$1,'RA9-Codisposal Upper'!$A$7:$BN$7,1)),0)+IFERROR(INDEX('RA10-Codisposal Slopes'!$A$8:$BN$8,1,MATCH(Summary!N$1,'RA10-Codisposal Slopes'!$A$7:$BN$7,1)),0)+IFERROR(INDEX('IA1-Final Void inc Ramps'!$A$8:$BN$8,1,MATCH(Summary!N$1,'IA1-Final Void inc Ramps'!$A$7:$BN$7,1)),0)</f>
        <v>657.9899999999999</v>
      </c>
      <c r="O12" s="51">
        <f>IFERROR(INDEX('RA1- Elevated Dumps Upper'!$A$8:$BN$8,1,MATCH(Summary!O$1,'RA1- Elevated Dumps Upper'!$A$7:$BN$7,1)),0)+IFERROR(INDEX('RA2-Elevated Dumps Slopes'!$A$8:$BN$8,1,MATCH(Summary!O$1,'RA2-Elevated Dumps Slopes'!$A$7:$BN$7,1)),0)+IFERROR(INDEX('RA3-Backfilled Pits'!$A$8:$BN$8,1,MATCH(Summary!O$1,'RA3-Backfilled Pits'!$A$7:$BN$7,1)),0)+IFERROR(INDEX('RA4-Tracks_Roads'!$A$8:$BN$8,1,MATCH(Summary!O$1,'RA4-Tracks_Roads'!$A$7:$BN$7,1)),0)+IFERROR(INDEX('RA5-ROM'!$A$8:$BN$8,1,MATCH(Summary!O$1,'RA5-ROM'!$A$7:$BN$7,1)),0)+IFERROR(INDEX('RA6-CHPP'!$A$8:$BN$8,1,MATCH(Summary!O$1,'RA6-CHPP'!$A$7:$BN$7,1)),0)+IFERROR(INDEX('RA7-Mine Infrastructure Area'!$A$8:$BN$8,1,MATCH(Summary!O$1,'RA7-Mine Infrastructure Area'!$A$7:$BN$7,1)),0)+IFERROR(INDEX('RA8-Water Management Structures'!$A$8:$BN$8,1,MATCH(Summary!O$1,'RA8-Water Management Structures'!$A$7:$BN$7,1)),0)+IFERROR(INDEX('RA9-Codisposal Upper'!$A$8:$BN$8,1,MATCH(Summary!O$1,'RA9-Codisposal Upper'!$A$7:$BN$7,1)),0)+IFERROR(INDEX('RA10-Codisposal Slopes'!$A$8:$BN$8,1,MATCH(Summary!O$1,'RA10-Codisposal Slopes'!$A$7:$BN$7,1)),0)+IFERROR(INDEX('IA1-Final Void inc Ramps'!$A$8:$BN$8,1,MATCH(Summary!O$1,'IA1-Final Void inc Ramps'!$A$7:$BN$7,1)),0)</f>
        <v>680.76199999999994</v>
      </c>
      <c r="P12" s="51">
        <f>IFERROR(INDEX('RA1- Elevated Dumps Upper'!$A$8:$BN$8,1,MATCH(Summary!P$1,'RA1- Elevated Dumps Upper'!$A$7:$BN$7,1)),0)+IFERROR(INDEX('RA2-Elevated Dumps Slopes'!$A$8:$BN$8,1,MATCH(Summary!P$1,'RA2-Elevated Dumps Slopes'!$A$7:$BN$7,1)),0)+IFERROR(INDEX('RA3-Backfilled Pits'!$A$8:$BN$8,1,MATCH(Summary!P$1,'RA3-Backfilled Pits'!$A$7:$BN$7,1)),0)+IFERROR(INDEX('RA4-Tracks_Roads'!$A$8:$BN$8,1,MATCH(Summary!P$1,'RA4-Tracks_Roads'!$A$7:$BN$7,1)),0)+IFERROR(INDEX('RA5-ROM'!$A$8:$BN$8,1,MATCH(Summary!P$1,'RA5-ROM'!$A$7:$BN$7,1)),0)+IFERROR(INDEX('RA6-CHPP'!$A$8:$BN$8,1,MATCH(Summary!P$1,'RA6-CHPP'!$A$7:$BN$7,1)),0)+IFERROR(INDEX('RA7-Mine Infrastructure Area'!$A$8:$BN$8,1,MATCH(Summary!P$1,'RA7-Mine Infrastructure Area'!$A$7:$BN$7,1)),0)+IFERROR(INDEX('RA8-Water Management Structures'!$A$8:$BN$8,1,MATCH(Summary!P$1,'RA8-Water Management Structures'!$A$7:$BN$7,1)),0)+IFERROR(INDEX('RA9-Codisposal Upper'!$A$8:$BN$8,1,MATCH(Summary!P$1,'RA9-Codisposal Upper'!$A$7:$BN$7,1)),0)+IFERROR(INDEX('RA10-Codisposal Slopes'!$A$8:$BN$8,1,MATCH(Summary!P$1,'RA10-Codisposal Slopes'!$A$7:$BN$7,1)),0)+IFERROR(INDEX('IA1-Final Void inc Ramps'!$A$8:$BN$8,1,MATCH(Summary!P$1,'IA1-Final Void inc Ramps'!$A$7:$BN$7,1)),0)</f>
        <v>701.06399999999985</v>
      </c>
      <c r="Q12" s="51">
        <f>IFERROR(INDEX('RA1- Elevated Dumps Upper'!$A$8:$BN$8,1,MATCH(Summary!Q$1,'RA1- Elevated Dumps Upper'!$A$7:$BN$7,1)),0)+IFERROR(INDEX('RA2-Elevated Dumps Slopes'!$A$8:$BN$8,1,MATCH(Summary!Q$1,'RA2-Elevated Dumps Slopes'!$A$7:$BN$7,1)),0)+IFERROR(INDEX('RA3-Backfilled Pits'!$A$8:$BN$8,1,MATCH(Summary!Q$1,'RA3-Backfilled Pits'!$A$7:$BN$7,1)),0)+IFERROR(INDEX('RA4-Tracks_Roads'!$A$8:$BN$8,1,MATCH(Summary!Q$1,'RA4-Tracks_Roads'!$A$7:$BN$7,1)),0)+IFERROR(INDEX('RA5-ROM'!$A$8:$BN$8,1,MATCH(Summary!Q$1,'RA5-ROM'!$A$7:$BN$7,1)),0)+IFERROR(INDEX('RA6-CHPP'!$A$8:$BN$8,1,MATCH(Summary!Q$1,'RA6-CHPP'!$A$7:$BN$7,1)),0)+IFERROR(INDEX('RA7-Mine Infrastructure Area'!$A$8:$BN$8,1,MATCH(Summary!Q$1,'RA7-Mine Infrastructure Area'!$A$7:$BN$7,1)),0)+IFERROR(INDEX('RA8-Water Management Structures'!$A$8:$BN$8,1,MATCH(Summary!Q$1,'RA8-Water Management Structures'!$A$7:$BN$7,1)),0)+IFERROR(INDEX('RA9-Codisposal Upper'!$A$8:$BN$8,1,MATCH(Summary!Q$1,'RA9-Codisposal Upper'!$A$7:$BN$7,1)),0)+IFERROR(INDEX('RA10-Codisposal Slopes'!$A$8:$BN$8,1,MATCH(Summary!Q$1,'RA10-Codisposal Slopes'!$A$7:$BN$7,1)),0)+IFERROR(INDEX('IA1-Final Void inc Ramps'!$A$8:$BN$8,1,MATCH(Summary!Q$1,'IA1-Final Void inc Ramps'!$A$7:$BN$7,1)),0)</f>
        <v>701.06399999999985</v>
      </c>
      <c r="R12" s="51">
        <f>IFERROR(INDEX('RA1- Elevated Dumps Upper'!$A$8:$BN$8,1,MATCH(Summary!R$1,'RA1- Elevated Dumps Upper'!$A$7:$BN$7,1)),0)+IFERROR(INDEX('RA2-Elevated Dumps Slopes'!$A$8:$BN$8,1,MATCH(Summary!R$1,'RA2-Elevated Dumps Slopes'!$A$7:$BN$7,1)),0)+IFERROR(INDEX('RA3-Backfilled Pits'!$A$8:$BN$8,1,MATCH(Summary!R$1,'RA3-Backfilled Pits'!$A$7:$BN$7,1)),0)+IFERROR(INDEX('RA4-Tracks_Roads'!$A$8:$BN$8,1,MATCH(Summary!R$1,'RA4-Tracks_Roads'!$A$7:$BN$7,1)),0)+IFERROR(INDEX('RA5-ROM'!$A$8:$BN$8,1,MATCH(Summary!R$1,'RA5-ROM'!$A$7:$BN$7,1)),0)+IFERROR(INDEX('RA6-CHPP'!$A$8:$BN$8,1,MATCH(Summary!R$1,'RA6-CHPP'!$A$7:$BN$7,1)),0)+IFERROR(INDEX('RA7-Mine Infrastructure Area'!$A$8:$BN$8,1,MATCH(Summary!R$1,'RA7-Mine Infrastructure Area'!$A$7:$BN$7,1)),0)+IFERROR(INDEX('RA8-Water Management Structures'!$A$8:$BN$8,1,MATCH(Summary!R$1,'RA8-Water Management Structures'!$A$7:$BN$7,1)),0)+IFERROR(INDEX('RA9-Codisposal Upper'!$A$8:$BN$8,1,MATCH(Summary!R$1,'RA9-Codisposal Upper'!$A$7:$BN$7,1)),0)+IFERROR(INDEX('RA10-Codisposal Slopes'!$A$8:$BN$8,1,MATCH(Summary!R$1,'RA10-Codisposal Slopes'!$A$7:$BN$7,1)),0)+IFERROR(INDEX('IA1-Final Void inc Ramps'!$A$8:$BN$8,1,MATCH(Summary!R$1,'IA1-Final Void inc Ramps'!$A$7:$BN$7,1)),0)</f>
        <v>725.3119999999999</v>
      </c>
      <c r="S12" s="51">
        <f>IFERROR(INDEX('RA1- Elevated Dumps Upper'!$A$8:$BN$8,1,MATCH(Summary!S$1,'RA1- Elevated Dumps Upper'!$A$7:$BN$7,1)),0)+IFERROR(INDEX('RA2-Elevated Dumps Slopes'!$A$8:$BN$8,1,MATCH(Summary!S$1,'RA2-Elevated Dumps Slopes'!$A$7:$BN$7,1)),0)+IFERROR(INDEX('RA3-Backfilled Pits'!$A$8:$BN$8,1,MATCH(Summary!S$1,'RA3-Backfilled Pits'!$A$7:$BN$7,1)),0)+IFERROR(INDEX('RA4-Tracks_Roads'!$A$8:$BN$8,1,MATCH(Summary!S$1,'RA4-Tracks_Roads'!$A$7:$BN$7,1)),0)+IFERROR(INDEX('RA5-ROM'!$A$8:$BN$8,1,MATCH(Summary!S$1,'RA5-ROM'!$A$7:$BN$7,1)),0)+IFERROR(INDEX('RA6-CHPP'!$A$8:$BN$8,1,MATCH(Summary!S$1,'RA6-CHPP'!$A$7:$BN$7,1)),0)+IFERROR(INDEX('RA7-Mine Infrastructure Area'!$A$8:$BN$8,1,MATCH(Summary!S$1,'RA7-Mine Infrastructure Area'!$A$7:$BN$7,1)),0)+IFERROR(INDEX('RA8-Water Management Structures'!$A$8:$BN$8,1,MATCH(Summary!S$1,'RA8-Water Management Structures'!$A$7:$BN$7,1)),0)+IFERROR(INDEX('RA9-Codisposal Upper'!$A$8:$BN$8,1,MATCH(Summary!S$1,'RA9-Codisposal Upper'!$A$7:$BN$7,1)),0)+IFERROR(INDEX('RA10-Codisposal Slopes'!$A$8:$BN$8,1,MATCH(Summary!S$1,'RA10-Codisposal Slopes'!$A$7:$BN$7,1)),0)+IFERROR(INDEX('IA1-Final Void inc Ramps'!$A$8:$BN$8,1,MATCH(Summary!S$1,'IA1-Final Void inc Ramps'!$A$7:$BN$7,1)),0)</f>
        <v>759.93</v>
      </c>
      <c r="T12" s="51">
        <f>IFERROR(INDEX('RA1- Elevated Dumps Upper'!$A$8:$BN$8,1,MATCH(Summary!T$1,'RA1- Elevated Dumps Upper'!$A$7:$BN$7,1)),0)+IFERROR(INDEX('RA2-Elevated Dumps Slopes'!$A$8:$BN$8,1,MATCH(Summary!T$1,'RA2-Elevated Dumps Slopes'!$A$7:$BN$7,1)),0)+IFERROR(INDEX('RA3-Backfilled Pits'!$A$8:$BN$8,1,MATCH(Summary!T$1,'RA3-Backfilled Pits'!$A$7:$BN$7,1)),0)+IFERROR(INDEX('RA4-Tracks_Roads'!$A$8:$BN$8,1,MATCH(Summary!T$1,'RA4-Tracks_Roads'!$A$7:$BN$7,1)),0)+IFERROR(INDEX('RA5-ROM'!$A$8:$BN$8,1,MATCH(Summary!T$1,'RA5-ROM'!$A$7:$BN$7,1)),0)+IFERROR(INDEX('RA6-CHPP'!$A$8:$BN$8,1,MATCH(Summary!T$1,'RA6-CHPP'!$A$7:$BN$7,1)),0)+IFERROR(INDEX('RA7-Mine Infrastructure Area'!$A$8:$BN$8,1,MATCH(Summary!T$1,'RA7-Mine Infrastructure Area'!$A$7:$BN$7,1)),0)+IFERROR(INDEX('RA8-Water Management Structures'!$A$8:$BN$8,1,MATCH(Summary!T$1,'RA8-Water Management Structures'!$A$7:$BN$7,1)),0)+IFERROR(INDEX('RA9-Codisposal Upper'!$A$8:$BN$8,1,MATCH(Summary!T$1,'RA9-Codisposal Upper'!$A$7:$BN$7,1)),0)+IFERROR(INDEX('RA10-Codisposal Slopes'!$A$8:$BN$8,1,MATCH(Summary!T$1,'RA10-Codisposal Slopes'!$A$7:$BN$7,1)),0)+IFERROR(INDEX('IA1-Final Void inc Ramps'!$A$8:$BN$8,1,MATCH(Summary!T$1,'IA1-Final Void inc Ramps'!$A$7:$BN$7,1)),0)</f>
        <v>825.22</v>
      </c>
      <c r="U12" s="51">
        <f>IFERROR(INDEX('RA1- Elevated Dumps Upper'!$A$8:$BN$8,1,MATCH(Summary!U$1,'RA1- Elevated Dumps Upper'!$A$7:$BN$7,1)),0)+IFERROR(INDEX('RA2-Elevated Dumps Slopes'!$A$8:$BN$8,1,MATCH(Summary!U$1,'RA2-Elevated Dumps Slopes'!$A$7:$BN$7,1)),0)+IFERROR(INDEX('RA3-Backfilled Pits'!$A$8:$BN$8,1,MATCH(Summary!U$1,'RA3-Backfilled Pits'!$A$7:$BN$7,1)),0)+IFERROR(INDEX('RA4-Tracks_Roads'!$A$8:$BN$8,1,MATCH(Summary!U$1,'RA4-Tracks_Roads'!$A$7:$BN$7,1)),0)+IFERROR(INDEX('RA5-ROM'!$A$8:$BN$8,1,MATCH(Summary!U$1,'RA5-ROM'!$A$7:$BN$7,1)),0)+IFERROR(INDEX('RA6-CHPP'!$A$8:$BN$8,1,MATCH(Summary!U$1,'RA6-CHPP'!$A$7:$BN$7,1)),0)+IFERROR(INDEX('RA7-Mine Infrastructure Area'!$A$8:$BN$8,1,MATCH(Summary!U$1,'RA7-Mine Infrastructure Area'!$A$7:$BN$7,1)),0)+IFERROR(INDEX('RA8-Water Management Structures'!$A$8:$BN$8,1,MATCH(Summary!U$1,'RA8-Water Management Structures'!$A$7:$BN$7,1)),0)+IFERROR(INDEX('RA9-Codisposal Upper'!$A$8:$BN$8,1,MATCH(Summary!U$1,'RA9-Codisposal Upper'!$A$7:$BN$7,1)),0)+IFERROR(INDEX('RA10-Codisposal Slopes'!$A$8:$BN$8,1,MATCH(Summary!U$1,'RA10-Codisposal Slopes'!$A$7:$BN$7,1)),0)+IFERROR(INDEX('IA1-Final Void inc Ramps'!$A$8:$BN$8,1,MATCH(Summary!U$1,'IA1-Final Void inc Ramps'!$A$7:$BN$7,1)),0)</f>
        <v>860.49299999999994</v>
      </c>
      <c r="V12" s="51">
        <f>IFERROR(INDEX('RA1- Elevated Dumps Upper'!$A$8:$BN$8,1,MATCH(Summary!V$1,'RA1- Elevated Dumps Upper'!$A$7:$BN$7,1)),0)+IFERROR(INDEX('RA2-Elevated Dumps Slopes'!$A$8:$BN$8,1,MATCH(Summary!V$1,'RA2-Elevated Dumps Slopes'!$A$7:$BN$7,1)),0)+IFERROR(INDEX('RA3-Backfilled Pits'!$A$8:$BN$8,1,MATCH(Summary!V$1,'RA3-Backfilled Pits'!$A$7:$BN$7,1)),0)+IFERROR(INDEX('RA4-Tracks_Roads'!$A$8:$BN$8,1,MATCH(Summary!V$1,'RA4-Tracks_Roads'!$A$7:$BN$7,1)),0)+IFERROR(INDEX('RA5-ROM'!$A$8:$BN$8,1,MATCH(Summary!V$1,'RA5-ROM'!$A$7:$BN$7,1)),0)+IFERROR(INDEX('RA6-CHPP'!$A$8:$BN$8,1,MATCH(Summary!V$1,'RA6-CHPP'!$A$7:$BN$7,1)),0)+IFERROR(INDEX('RA7-Mine Infrastructure Area'!$A$8:$BN$8,1,MATCH(Summary!V$1,'RA7-Mine Infrastructure Area'!$A$7:$BN$7,1)),0)+IFERROR(INDEX('RA8-Water Management Structures'!$A$8:$BN$8,1,MATCH(Summary!V$1,'RA8-Water Management Structures'!$A$7:$BN$7,1)),0)+IFERROR(INDEX('RA9-Codisposal Upper'!$A$8:$BN$8,1,MATCH(Summary!V$1,'RA9-Codisposal Upper'!$A$7:$BN$7,1)),0)+IFERROR(INDEX('RA10-Codisposal Slopes'!$A$8:$BN$8,1,MATCH(Summary!V$1,'RA10-Codisposal Slopes'!$A$7:$BN$7,1)),0)+IFERROR(INDEX('IA1-Final Void inc Ramps'!$A$8:$BN$8,1,MATCH(Summary!V$1,'IA1-Final Void inc Ramps'!$A$7:$BN$7,1)),0)</f>
        <v>860.49299999999994</v>
      </c>
      <c r="W12" s="51">
        <f>IFERROR(INDEX('RA1- Elevated Dumps Upper'!$A$8:$BN$8,1,MATCH(Summary!W$1,'RA1- Elevated Dumps Upper'!$A$7:$BN$7,1)),0)+IFERROR(INDEX('RA2-Elevated Dumps Slopes'!$A$8:$BN$8,1,MATCH(Summary!W$1,'RA2-Elevated Dumps Slopes'!$A$7:$BN$7,1)),0)+IFERROR(INDEX('RA3-Backfilled Pits'!$A$8:$BN$8,1,MATCH(Summary!W$1,'RA3-Backfilled Pits'!$A$7:$BN$7,1)),0)+IFERROR(INDEX('RA4-Tracks_Roads'!$A$8:$BN$8,1,MATCH(Summary!W$1,'RA4-Tracks_Roads'!$A$7:$BN$7,1)),0)+IFERROR(INDEX('RA5-ROM'!$A$8:$BN$8,1,MATCH(Summary!W$1,'RA5-ROM'!$A$7:$BN$7,1)),0)+IFERROR(INDEX('RA6-CHPP'!$A$8:$BN$8,1,MATCH(Summary!W$1,'RA6-CHPP'!$A$7:$BN$7,1)),0)+IFERROR(INDEX('RA7-Mine Infrastructure Area'!$A$8:$BN$8,1,MATCH(Summary!W$1,'RA7-Mine Infrastructure Area'!$A$7:$BN$7,1)),0)+IFERROR(INDEX('RA8-Water Management Structures'!$A$8:$BN$8,1,MATCH(Summary!W$1,'RA8-Water Management Structures'!$A$7:$BN$7,1)),0)+IFERROR(INDEX('RA9-Codisposal Upper'!$A$8:$BN$8,1,MATCH(Summary!W$1,'RA9-Codisposal Upper'!$A$7:$BN$7,1)),0)+IFERROR(INDEX('RA10-Codisposal Slopes'!$A$8:$BN$8,1,MATCH(Summary!W$1,'RA10-Codisposal Slopes'!$A$7:$BN$7,1)),0)+IFERROR(INDEX('IA1-Final Void inc Ramps'!$A$8:$BN$8,1,MATCH(Summary!W$1,'IA1-Final Void inc Ramps'!$A$7:$BN$7,1)),0)</f>
        <v>860.49299999999994</v>
      </c>
      <c r="X12" s="51">
        <f>IFERROR(INDEX('RA1- Elevated Dumps Upper'!$A$8:$BN$8,1,MATCH(Summary!X$1,'RA1- Elevated Dumps Upper'!$A$7:$BN$7,1)),0)+IFERROR(INDEX('RA2-Elevated Dumps Slopes'!$A$8:$BN$8,1,MATCH(Summary!X$1,'RA2-Elevated Dumps Slopes'!$A$7:$BN$7,1)),0)+IFERROR(INDEX('RA3-Backfilled Pits'!$A$8:$BN$8,1,MATCH(Summary!X$1,'RA3-Backfilled Pits'!$A$7:$BN$7,1)),0)+IFERROR(INDEX('RA4-Tracks_Roads'!$A$8:$BN$8,1,MATCH(Summary!X$1,'RA4-Tracks_Roads'!$A$7:$BN$7,1)),0)+IFERROR(INDEX('RA5-ROM'!$A$8:$BN$8,1,MATCH(Summary!X$1,'RA5-ROM'!$A$7:$BN$7,1)),0)+IFERROR(INDEX('RA6-CHPP'!$A$8:$BN$8,1,MATCH(Summary!X$1,'RA6-CHPP'!$A$7:$BN$7,1)),0)+IFERROR(INDEX('RA7-Mine Infrastructure Area'!$A$8:$BN$8,1,MATCH(Summary!X$1,'RA7-Mine Infrastructure Area'!$A$7:$BN$7,1)),0)+IFERROR(INDEX('RA8-Water Management Structures'!$A$8:$BN$8,1,MATCH(Summary!X$1,'RA8-Water Management Structures'!$A$7:$BN$7,1)),0)+IFERROR(INDEX('RA9-Codisposal Upper'!$A$8:$BN$8,1,MATCH(Summary!X$1,'RA9-Codisposal Upper'!$A$7:$BN$7,1)),0)+IFERROR(INDEX('RA10-Codisposal Slopes'!$A$8:$BN$8,1,MATCH(Summary!X$1,'RA10-Codisposal Slopes'!$A$7:$BN$7,1)),0)+IFERROR(INDEX('IA1-Final Void inc Ramps'!$A$8:$BN$8,1,MATCH(Summary!X$1,'IA1-Final Void inc Ramps'!$A$7:$BN$7,1)),0)</f>
        <v>860.49299999999994</v>
      </c>
      <c r="Y12" s="51">
        <f>IFERROR(INDEX('RA1- Elevated Dumps Upper'!$A$8:$BN$8,1,MATCH(Summary!Y$1,'RA1- Elevated Dumps Upper'!$A$7:$BN$7,1)),0)+IFERROR(INDEX('RA2-Elevated Dumps Slopes'!$A$8:$BN$8,1,MATCH(Summary!Y$1,'RA2-Elevated Dumps Slopes'!$A$7:$BN$7,1)),0)+IFERROR(INDEX('RA3-Backfilled Pits'!$A$8:$BN$8,1,MATCH(Summary!Y$1,'RA3-Backfilled Pits'!$A$7:$BN$7,1)),0)+IFERROR(INDEX('RA4-Tracks_Roads'!$A$8:$BN$8,1,MATCH(Summary!Y$1,'RA4-Tracks_Roads'!$A$7:$BN$7,1)),0)+IFERROR(INDEX('RA5-ROM'!$A$8:$BN$8,1,MATCH(Summary!Y$1,'RA5-ROM'!$A$7:$BN$7,1)),0)+IFERROR(INDEX('RA6-CHPP'!$A$8:$BN$8,1,MATCH(Summary!Y$1,'RA6-CHPP'!$A$7:$BN$7,1)),0)+IFERROR(INDEX('RA7-Mine Infrastructure Area'!$A$8:$BN$8,1,MATCH(Summary!Y$1,'RA7-Mine Infrastructure Area'!$A$7:$BN$7,1)),0)+IFERROR(INDEX('RA8-Water Management Structures'!$A$8:$BN$8,1,MATCH(Summary!Y$1,'RA8-Water Management Structures'!$A$7:$BN$7,1)),0)+IFERROR(INDEX('RA9-Codisposal Upper'!$A$8:$BN$8,1,MATCH(Summary!Y$1,'RA9-Codisposal Upper'!$A$7:$BN$7,1)),0)+IFERROR(INDEX('RA10-Codisposal Slopes'!$A$8:$BN$8,1,MATCH(Summary!Y$1,'RA10-Codisposal Slopes'!$A$7:$BN$7,1)),0)+IFERROR(INDEX('IA1-Final Void inc Ramps'!$A$8:$BN$8,1,MATCH(Summary!Y$1,'IA1-Final Void inc Ramps'!$A$7:$BN$7,1)),0)</f>
        <v>968.02099999999996</v>
      </c>
      <c r="Z12" s="51">
        <f>IFERROR(INDEX('RA1- Elevated Dumps Upper'!$A$8:$BN$8,1,MATCH(Summary!Z$1,'RA1- Elevated Dumps Upper'!$A$7:$BN$7,1)),0)+IFERROR(INDEX('RA2-Elevated Dumps Slopes'!$A$8:$BN$8,1,MATCH(Summary!Z$1,'RA2-Elevated Dumps Slopes'!$A$7:$BN$7,1)),0)+IFERROR(INDEX('RA3-Backfilled Pits'!$A$8:$BN$8,1,MATCH(Summary!Z$1,'RA3-Backfilled Pits'!$A$7:$BN$7,1)),0)+IFERROR(INDEX('RA4-Tracks_Roads'!$A$8:$BN$8,1,MATCH(Summary!Z$1,'RA4-Tracks_Roads'!$A$7:$BN$7,1)),0)+IFERROR(INDEX('RA5-ROM'!$A$8:$BN$8,1,MATCH(Summary!Z$1,'RA5-ROM'!$A$7:$BN$7,1)),0)+IFERROR(INDEX('RA6-CHPP'!$A$8:$BN$8,1,MATCH(Summary!Z$1,'RA6-CHPP'!$A$7:$BN$7,1)),0)+IFERROR(INDEX('RA7-Mine Infrastructure Area'!$A$8:$BN$8,1,MATCH(Summary!Z$1,'RA7-Mine Infrastructure Area'!$A$7:$BN$7,1)),0)+IFERROR(INDEX('RA8-Water Management Structures'!$A$8:$BN$8,1,MATCH(Summary!Z$1,'RA8-Water Management Structures'!$A$7:$BN$7,1)),0)+IFERROR(INDEX('RA9-Codisposal Upper'!$A$8:$BN$8,1,MATCH(Summary!Z$1,'RA9-Codisposal Upper'!$A$7:$BN$7,1)),0)+IFERROR(INDEX('RA10-Codisposal Slopes'!$A$8:$BN$8,1,MATCH(Summary!Z$1,'RA10-Codisposal Slopes'!$A$7:$BN$7,1)),0)+IFERROR(INDEX('IA1-Final Void inc Ramps'!$A$8:$BN$8,1,MATCH(Summary!Z$1,'IA1-Final Void inc Ramps'!$A$7:$BN$7,1)),0)</f>
        <v>1139.6209999999999</v>
      </c>
      <c r="AA12" s="51">
        <f>IFERROR(INDEX('RA1- Elevated Dumps Upper'!$A$8:$BN$8,1,MATCH(Summary!AA$1,'RA1- Elevated Dumps Upper'!$A$7:$BN$7,1)),0)+IFERROR(INDEX('RA2-Elevated Dumps Slopes'!$A$8:$BN$8,1,MATCH(Summary!AA$1,'RA2-Elevated Dumps Slopes'!$A$7:$BN$7,1)),0)+IFERROR(INDEX('RA3-Backfilled Pits'!$A$8:$BN$8,1,MATCH(Summary!AA$1,'RA3-Backfilled Pits'!$A$7:$BN$7,1)),0)+IFERROR(INDEX('RA4-Tracks_Roads'!$A$8:$BN$8,1,MATCH(Summary!AA$1,'RA4-Tracks_Roads'!$A$7:$BN$7,1)),0)+IFERROR(INDEX('RA5-ROM'!$A$8:$BN$8,1,MATCH(Summary!AA$1,'RA5-ROM'!$A$7:$BN$7,1)),0)+IFERROR(INDEX('RA6-CHPP'!$A$8:$BN$8,1,MATCH(Summary!AA$1,'RA6-CHPP'!$A$7:$BN$7,1)),0)+IFERROR(INDEX('RA7-Mine Infrastructure Area'!$A$8:$BN$8,1,MATCH(Summary!AA$1,'RA7-Mine Infrastructure Area'!$A$7:$BN$7,1)),0)+IFERROR(INDEX('RA8-Water Management Structures'!$A$8:$BN$8,1,MATCH(Summary!AA$1,'RA8-Water Management Structures'!$A$7:$BN$7,1)),0)+IFERROR(INDEX('RA9-Codisposal Upper'!$A$8:$BN$8,1,MATCH(Summary!AA$1,'RA9-Codisposal Upper'!$A$7:$BN$7,1)),0)+IFERROR(INDEX('RA10-Codisposal Slopes'!$A$8:$BN$8,1,MATCH(Summary!AA$1,'RA10-Codisposal Slopes'!$A$7:$BN$7,1)),0)+IFERROR(INDEX('IA1-Final Void inc Ramps'!$A$8:$BN$8,1,MATCH(Summary!AA$1,'IA1-Final Void inc Ramps'!$A$7:$BN$7,1)),0)</f>
        <v>1549.8369999999998</v>
      </c>
      <c r="AB12" s="51">
        <f>IFERROR(INDEX('RA1- Elevated Dumps Upper'!$A$8:$BN$8,1,MATCH(Summary!AB$1,'RA1- Elevated Dumps Upper'!$A$7:$BN$7,1)),0)+IFERROR(INDEX('RA2-Elevated Dumps Slopes'!$A$8:$BN$8,1,MATCH(Summary!AB$1,'RA2-Elevated Dumps Slopes'!$A$7:$BN$7,1)),0)+IFERROR(INDEX('RA3-Backfilled Pits'!$A$8:$BN$8,1,MATCH(Summary!AB$1,'RA3-Backfilled Pits'!$A$7:$BN$7,1)),0)+IFERROR(INDEX('RA4-Tracks_Roads'!$A$8:$BN$8,1,MATCH(Summary!AB$1,'RA4-Tracks_Roads'!$A$7:$BN$7,1)),0)+IFERROR(INDEX('RA5-ROM'!$A$8:$BN$8,1,MATCH(Summary!AB$1,'RA5-ROM'!$A$7:$BN$7,1)),0)+IFERROR(INDEX('RA6-CHPP'!$A$8:$BN$8,1,MATCH(Summary!AB$1,'RA6-CHPP'!$A$7:$BN$7,1)),0)+IFERROR(INDEX('RA7-Mine Infrastructure Area'!$A$8:$BN$8,1,MATCH(Summary!AB$1,'RA7-Mine Infrastructure Area'!$A$7:$BN$7,1)),0)+IFERROR(INDEX('RA8-Water Management Structures'!$A$8:$BN$8,1,MATCH(Summary!AB$1,'RA8-Water Management Structures'!$A$7:$BN$7,1)),0)+IFERROR(INDEX('RA9-Codisposal Upper'!$A$8:$BN$8,1,MATCH(Summary!AB$1,'RA9-Codisposal Upper'!$A$7:$BN$7,1)),0)+IFERROR(INDEX('RA10-Codisposal Slopes'!$A$8:$BN$8,1,MATCH(Summary!AB$1,'RA10-Codisposal Slopes'!$A$7:$BN$7,1)),0)+IFERROR(INDEX('IA1-Final Void inc Ramps'!$A$8:$BN$8,1,MATCH(Summary!AB$1,'IA1-Final Void inc Ramps'!$A$7:$BN$7,1)),0)</f>
        <v>1582.53</v>
      </c>
      <c r="AC12" s="51">
        <f>IFERROR(INDEX('RA1- Elevated Dumps Upper'!$A$8:$BN$8,1,MATCH(Summary!AC$1,'RA1- Elevated Dumps Upper'!$A$7:$BN$7,1)),0)+IFERROR(INDEX('RA2-Elevated Dumps Slopes'!$A$8:$BN$8,1,MATCH(Summary!AC$1,'RA2-Elevated Dumps Slopes'!$A$7:$BN$7,1)),0)+IFERROR(INDEX('RA3-Backfilled Pits'!$A$8:$BN$8,1,MATCH(Summary!AC$1,'RA3-Backfilled Pits'!$A$7:$BN$7,1)),0)+IFERROR(INDEX('RA4-Tracks_Roads'!$A$8:$BN$8,1,MATCH(Summary!AC$1,'RA4-Tracks_Roads'!$A$7:$BN$7,1)),0)+IFERROR(INDEX('RA5-ROM'!$A$8:$BN$8,1,MATCH(Summary!AC$1,'RA5-ROM'!$A$7:$BN$7,1)),0)+IFERROR(INDEX('RA6-CHPP'!$A$8:$BN$8,1,MATCH(Summary!AC$1,'RA6-CHPP'!$A$7:$BN$7,1)),0)+IFERROR(INDEX('RA7-Mine Infrastructure Area'!$A$8:$BN$8,1,MATCH(Summary!AC$1,'RA7-Mine Infrastructure Area'!$A$7:$BN$7,1)),0)+IFERROR(INDEX('RA8-Water Management Structures'!$A$8:$BN$8,1,MATCH(Summary!AC$1,'RA8-Water Management Structures'!$A$7:$BN$7,1)),0)+IFERROR(INDEX('RA9-Codisposal Upper'!$A$8:$BN$8,1,MATCH(Summary!AC$1,'RA9-Codisposal Upper'!$A$7:$BN$7,1)),0)+IFERROR(INDEX('RA10-Codisposal Slopes'!$A$8:$BN$8,1,MATCH(Summary!AC$1,'RA10-Codisposal Slopes'!$A$7:$BN$7,1)),0)+IFERROR(INDEX('IA1-Final Void inc Ramps'!$A$8:$BN$8,1,MATCH(Summary!AC$1,'IA1-Final Void inc Ramps'!$A$7:$BN$7,1)),0)</f>
        <v>1980.2509999999997</v>
      </c>
      <c r="AD12" s="51">
        <f>IFERROR(INDEX('RA1- Elevated Dumps Upper'!$A$8:$BN$8,1,MATCH(Summary!AD$1,'RA1- Elevated Dumps Upper'!$A$7:$BN$7,1)),0)+IFERROR(INDEX('RA2-Elevated Dumps Slopes'!$A$8:$BN$8,1,MATCH(Summary!AD$1,'RA2-Elevated Dumps Slopes'!$A$7:$BN$7,1)),0)+IFERROR(INDEX('RA3-Backfilled Pits'!$A$8:$BN$8,1,MATCH(Summary!AD$1,'RA3-Backfilled Pits'!$A$7:$BN$7,1)),0)+IFERROR(INDEX('RA4-Tracks_Roads'!$A$8:$BN$8,1,MATCH(Summary!AD$1,'RA4-Tracks_Roads'!$A$7:$BN$7,1)),0)+IFERROR(INDEX('RA5-ROM'!$A$8:$BN$8,1,MATCH(Summary!AD$1,'RA5-ROM'!$A$7:$BN$7,1)),0)+IFERROR(INDEX('RA6-CHPP'!$A$8:$BN$8,1,MATCH(Summary!AD$1,'RA6-CHPP'!$A$7:$BN$7,1)),0)+IFERROR(INDEX('RA7-Mine Infrastructure Area'!$A$8:$BN$8,1,MATCH(Summary!AD$1,'RA7-Mine Infrastructure Area'!$A$7:$BN$7,1)),0)+IFERROR(INDEX('RA8-Water Management Structures'!$A$8:$BN$8,1,MATCH(Summary!AD$1,'RA8-Water Management Structures'!$A$7:$BN$7,1)),0)+IFERROR(INDEX('RA9-Codisposal Upper'!$A$8:$BN$8,1,MATCH(Summary!AD$1,'RA9-Codisposal Upper'!$A$7:$BN$7,1)),0)+IFERROR(INDEX('RA10-Codisposal Slopes'!$A$8:$BN$8,1,MATCH(Summary!AD$1,'RA10-Codisposal Slopes'!$A$7:$BN$7,1)),0)+IFERROR(INDEX('IA1-Final Void inc Ramps'!$A$8:$BN$8,1,MATCH(Summary!AD$1,'IA1-Final Void inc Ramps'!$A$7:$BN$7,1)),0)</f>
        <v>2072.7509999999997</v>
      </c>
      <c r="AE12" s="51">
        <f>IFERROR(INDEX('RA1- Elevated Dumps Upper'!$A$8:$BN$8,1,MATCH(Summary!AE$1,'RA1- Elevated Dumps Upper'!$A$7:$BN$7,1)),0)+IFERROR(INDEX('RA2-Elevated Dumps Slopes'!$A$8:$BN$8,1,MATCH(Summary!AE$1,'RA2-Elevated Dumps Slopes'!$A$7:$BN$7,1)),0)+IFERROR(INDEX('RA3-Backfilled Pits'!$A$8:$BN$8,1,MATCH(Summary!AE$1,'RA3-Backfilled Pits'!$A$7:$BN$7,1)),0)+IFERROR(INDEX('RA4-Tracks_Roads'!$A$8:$BN$8,1,MATCH(Summary!AE$1,'RA4-Tracks_Roads'!$A$7:$BN$7,1)),0)+IFERROR(INDEX('RA5-ROM'!$A$8:$BN$8,1,MATCH(Summary!AE$1,'RA5-ROM'!$A$7:$BN$7,1)),0)+IFERROR(INDEX('RA6-CHPP'!$A$8:$BN$8,1,MATCH(Summary!AE$1,'RA6-CHPP'!$A$7:$BN$7,1)),0)+IFERROR(INDEX('RA7-Mine Infrastructure Area'!$A$8:$BN$8,1,MATCH(Summary!AE$1,'RA7-Mine Infrastructure Area'!$A$7:$BN$7,1)),0)+IFERROR(INDEX('RA8-Water Management Structures'!$A$8:$BN$8,1,MATCH(Summary!AE$1,'RA8-Water Management Structures'!$A$7:$BN$7,1)),0)+IFERROR(INDEX('RA9-Codisposal Upper'!$A$8:$BN$8,1,MATCH(Summary!AE$1,'RA9-Codisposal Upper'!$A$7:$BN$7,1)),0)+IFERROR(INDEX('RA10-Codisposal Slopes'!$A$8:$BN$8,1,MATCH(Summary!AE$1,'RA10-Codisposal Slopes'!$A$7:$BN$7,1)),0)+IFERROR(INDEX('IA1-Final Void inc Ramps'!$A$8:$BN$8,1,MATCH(Summary!AE$1,'IA1-Final Void inc Ramps'!$A$7:$BN$7,1)),0)</f>
        <v>2072.7509999999997</v>
      </c>
      <c r="AF12" s="51">
        <f>IFERROR(INDEX('RA1- Elevated Dumps Upper'!$A$8:$BN$8,1,MATCH(Summary!AF$1,'RA1- Elevated Dumps Upper'!$A$7:$BN$7,1)),0)+IFERROR(INDEX('RA2-Elevated Dumps Slopes'!$A$8:$BN$8,1,MATCH(Summary!AF$1,'RA2-Elevated Dumps Slopes'!$A$7:$BN$7,1)),0)+IFERROR(INDEX('RA3-Backfilled Pits'!$A$8:$BN$8,1,MATCH(Summary!AF$1,'RA3-Backfilled Pits'!$A$7:$BN$7,1)),0)+IFERROR(INDEX('RA4-Tracks_Roads'!$A$8:$BN$8,1,MATCH(Summary!AF$1,'RA4-Tracks_Roads'!$A$7:$BN$7,1)),0)+IFERROR(INDEX('RA5-ROM'!$A$8:$BN$8,1,MATCH(Summary!AF$1,'RA5-ROM'!$A$7:$BN$7,1)),0)+IFERROR(INDEX('RA6-CHPP'!$A$8:$BN$8,1,MATCH(Summary!AF$1,'RA6-CHPP'!$A$7:$BN$7,1)),0)+IFERROR(INDEX('RA7-Mine Infrastructure Area'!$A$8:$BN$8,1,MATCH(Summary!AF$1,'RA7-Mine Infrastructure Area'!$A$7:$BN$7,1)),0)+IFERROR(INDEX('RA8-Water Management Structures'!$A$8:$BN$8,1,MATCH(Summary!AF$1,'RA8-Water Management Structures'!$A$7:$BN$7,1)),0)+IFERROR(INDEX('RA9-Codisposal Upper'!$A$8:$BN$8,1,MATCH(Summary!AF$1,'RA9-Codisposal Upper'!$A$7:$BN$7,1)),0)+IFERROR(INDEX('RA10-Codisposal Slopes'!$A$8:$BN$8,1,MATCH(Summary!AF$1,'RA10-Codisposal Slopes'!$A$7:$BN$7,1)),0)+IFERROR(INDEX('IA1-Final Void inc Ramps'!$A$8:$BN$8,1,MATCH(Summary!AF$1,'IA1-Final Void inc Ramps'!$A$7:$BN$7,1)),0)</f>
        <v>2072.7509999999997</v>
      </c>
      <c r="AG12" s="51">
        <f>IFERROR(INDEX('RA1- Elevated Dumps Upper'!$A$8:$BN$8,1,MATCH(Summary!AG$1,'RA1- Elevated Dumps Upper'!$A$7:$BN$7,1)),0)+IFERROR(INDEX('RA2-Elevated Dumps Slopes'!$A$8:$BN$8,1,MATCH(Summary!AG$1,'RA2-Elevated Dumps Slopes'!$A$7:$BN$7,1)),0)+IFERROR(INDEX('RA3-Backfilled Pits'!$A$8:$BN$8,1,MATCH(Summary!AG$1,'RA3-Backfilled Pits'!$A$7:$BN$7,1)),0)+IFERROR(INDEX('RA4-Tracks_Roads'!$A$8:$BN$8,1,MATCH(Summary!AG$1,'RA4-Tracks_Roads'!$A$7:$BN$7,1)),0)+IFERROR(INDEX('RA5-ROM'!$A$8:$BN$8,1,MATCH(Summary!AG$1,'RA5-ROM'!$A$7:$BN$7,1)),0)+IFERROR(INDEX('RA6-CHPP'!$A$8:$BN$8,1,MATCH(Summary!AG$1,'RA6-CHPP'!$A$7:$BN$7,1)),0)+IFERROR(INDEX('RA7-Mine Infrastructure Area'!$A$8:$BN$8,1,MATCH(Summary!AG$1,'RA7-Mine Infrastructure Area'!$A$7:$BN$7,1)),0)+IFERROR(INDEX('RA8-Water Management Structures'!$A$8:$BN$8,1,MATCH(Summary!AG$1,'RA8-Water Management Structures'!$A$7:$BN$7,1)),0)+IFERROR(INDEX('RA9-Codisposal Upper'!$A$8:$BN$8,1,MATCH(Summary!AG$1,'RA9-Codisposal Upper'!$A$7:$BN$7,1)),0)+IFERROR(INDEX('RA10-Codisposal Slopes'!$A$8:$BN$8,1,MATCH(Summary!AG$1,'RA10-Codisposal Slopes'!$A$7:$BN$7,1)),0)+IFERROR(INDEX('IA1-Final Void inc Ramps'!$A$8:$BN$8,1,MATCH(Summary!AG$1,'IA1-Final Void inc Ramps'!$A$7:$BN$7,1)),0)</f>
        <v>2072.7509999999997</v>
      </c>
      <c r="AH12" s="51">
        <f>IFERROR(INDEX('RA1- Elevated Dumps Upper'!$A$8:$BN$8,1,MATCH(Summary!AH$1,'RA1- Elevated Dumps Upper'!$A$7:$BN$7,1)),0)+IFERROR(INDEX('RA2-Elevated Dumps Slopes'!$A$8:$BN$8,1,MATCH(Summary!AH$1,'RA2-Elevated Dumps Slopes'!$A$7:$BN$7,1)),0)+IFERROR(INDEX('RA3-Backfilled Pits'!$A$8:$BN$8,1,MATCH(Summary!AH$1,'RA3-Backfilled Pits'!$A$7:$BN$7,1)),0)+IFERROR(INDEX('RA4-Tracks_Roads'!$A$8:$BN$8,1,MATCH(Summary!AH$1,'RA4-Tracks_Roads'!$A$7:$BN$7,1)),0)+IFERROR(INDEX('RA5-ROM'!$A$8:$BN$8,1,MATCH(Summary!AH$1,'RA5-ROM'!$A$7:$BN$7,1)),0)+IFERROR(INDEX('RA6-CHPP'!$A$8:$BN$8,1,MATCH(Summary!AH$1,'RA6-CHPP'!$A$7:$BN$7,1)),0)+IFERROR(INDEX('RA7-Mine Infrastructure Area'!$A$8:$BN$8,1,MATCH(Summary!AH$1,'RA7-Mine Infrastructure Area'!$A$7:$BN$7,1)),0)+IFERROR(INDEX('RA8-Water Management Structures'!$A$8:$BN$8,1,MATCH(Summary!AH$1,'RA8-Water Management Structures'!$A$7:$BN$7,1)),0)+IFERROR(INDEX('RA9-Codisposal Upper'!$A$8:$BN$8,1,MATCH(Summary!AH$1,'RA9-Codisposal Upper'!$A$7:$BN$7,1)),0)+IFERROR(INDEX('RA10-Codisposal Slopes'!$A$8:$BN$8,1,MATCH(Summary!AH$1,'RA10-Codisposal Slopes'!$A$7:$BN$7,1)),0)+IFERROR(INDEX('IA1-Final Void inc Ramps'!$A$8:$BN$8,1,MATCH(Summary!AH$1,'IA1-Final Void inc Ramps'!$A$7:$BN$7,1)),0)</f>
        <v>2072.7509999999997</v>
      </c>
      <c r="AI12" s="51">
        <f>IFERROR(INDEX('RA1- Elevated Dumps Upper'!$A$8:$BN$8,1,MATCH(Summary!AI$1,'RA1- Elevated Dumps Upper'!$A$7:$BN$7,1)),0)+IFERROR(INDEX('RA2-Elevated Dumps Slopes'!$A$8:$BN$8,1,MATCH(Summary!AI$1,'RA2-Elevated Dumps Slopes'!$A$7:$BN$7,1)),0)+IFERROR(INDEX('RA3-Backfilled Pits'!$A$8:$BN$8,1,MATCH(Summary!AI$1,'RA3-Backfilled Pits'!$A$7:$BN$7,1)),0)+IFERROR(INDEX('RA4-Tracks_Roads'!$A$8:$BN$8,1,MATCH(Summary!AI$1,'RA4-Tracks_Roads'!$A$7:$BN$7,1)),0)+IFERROR(INDEX('RA5-ROM'!$A$8:$BN$8,1,MATCH(Summary!AI$1,'RA5-ROM'!$A$7:$BN$7,1)),0)+IFERROR(INDEX('RA6-CHPP'!$A$8:$BN$8,1,MATCH(Summary!AI$1,'RA6-CHPP'!$A$7:$BN$7,1)),0)+IFERROR(INDEX('RA7-Mine Infrastructure Area'!$A$8:$BN$8,1,MATCH(Summary!AI$1,'RA7-Mine Infrastructure Area'!$A$7:$BN$7,1)),0)+IFERROR(INDEX('RA8-Water Management Structures'!$A$8:$BN$8,1,MATCH(Summary!AI$1,'RA8-Water Management Structures'!$A$7:$BN$7,1)),0)+IFERROR(INDEX('RA9-Codisposal Upper'!$A$8:$BN$8,1,MATCH(Summary!AI$1,'RA9-Codisposal Upper'!$A$7:$BN$7,1)),0)+IFERROR(INDEX('RA10-Codisposal Slopes'!$A$8:$BN$8,1,MATCH(Summary!AI$1,'RA10-Codisposal Slopes'!$A$7:$BN$7,1)),0)+IFERROR(INDEX('IA1-Final Void inc Ramps'!$A$8:$BN$8,1,MATCH(Summary!AI$1,'IA1-Final Void inc Ramps'!$A$7:$BN$7,1)),0)</f>
        <v>2072.7509999999997</v>
      </c>
      <c r="AJ12" s="51">
        <f>IFERROR(INDEX('RA1- Elevated Dumps Upper'!$A$8:$BN$8,1,MATCH(Summary!AJ$1,'RA1- Elevated Dumps Upper'!$A$7:$BN$7,1)),0)+IFERROR(INDEX('RA2-Elevated Dumps Slopes'!$A$8:$BN$8,1,MATCH(Summary!AJ$1,'RA2-Elevated Dumps Slopes'!$A$7:$BN$7,1)),0)+IFERROR(INDEX('RA3-Backfilled Pits'!$A$8:$BN$8,1,MATCH(Summary!AJ$1,'RA3-Backfilled Pits'!$A$7:$BN$7,1)),0)+IFERROR(INDEX('RA4-Tracks_Roads'!$A$8:$BN$8,1,MATCH(Summary!AJ$1,'RA4-Tracks_Roads'!$A$7:$BN$7,1)),0)+IFERROR(INDEX('RA5-ROM'!$A$8:$BN$8,1,MATCH(Summary!AJ$1,'RA5-ROM'!$A$7:$BN$7,1)),0)+IFERROR(INDEX('RA6-CHPP'!$A$8:$BN$8,1,MATCH(Summary!AJ$1,'RA6-CHPP'!$A$7:$BN$7,1)),0)+IFERROR(INDEX('RA7-Mine Infrastructure Area'!$A$8:$BN$8,1,MATCH(Summary!AJ$1,'RA7-Mine Infrastructure Area'!$A$7:$BN$7,1)),0)+IFERROR(INDEX('RA8-Water Management Structures'!$A$8:$BN$8,1,MATCH(Summary!AJ$1,'RA8-Water Management Structures'!$A$7:$BN$7,1)),0)+IFERROR(INDEX('RA9-Codisposal Upper'!$A$8:$BN$8,1,MATCH(Summary!AJ$1,'RA9-Codisposal Upper'!$A$7:$BN$7,1)),0)+IFERROR(INDEX('RA10-Codisposal Slopes'!$A$8:$BN$8,1,MATCH(Summary!AJ$1,'RA10-Codisposal Slopes'!$A$7:$BN$7,1)),0)+IFERROR(INDEX('IA1-Final Void inc Ramps'!$A$8:$BN$8,1,MATCH(Summary!AJ$1,'IA1-Final Void inc Ramps'!$A$7:$BN$7,1)),0)</f>
        <v>2072.7509999999997</v>
      </c>
      <c r="AK12" s="51">
        <f>IFERROR(INDEX('RA1- Elevated Dumps Upper'!$A$8:$BN$8,1,MATCH(Summary!AK$1,'RA1- Elevated Dumps Upper'!$A$7:$BN$7,1)),0)+IFERROR(INDEX('RA2-Elevated Dumps Slopes'!$A$8:$BN$8,1,MATCH(Summary!AK$1,'RA2-Elevated Dumps Slopes'!$A$7:$BN$7,1)),0)+IFERROR(INDEX('RA3-Backfilled Pits'!$A$8:$BN$8,1,MATCH(Summary!AK$1,'RA3-Backfilled Pits'!$A$7:$BN$7,1)),0)+IFERROR(INDEX('RA4-Tracks_Roads'!$A$8:$BN$8,1,MATCH(Summary!AK$1,'RA4-Tracks_Roads'!$A$7:$BN$7,1)),0)+IFERROR(INDEX('RA5-ROM'!$A$8:$BN$8,1,MATCH(Summary!AK$1,'RA5-ROM'!$A$7:$BN$7,1)),0)+IFERROR(INDEX('RA6-CHPP'!$A$8:$BN$8,1,MATCH(Summary!AK$1,'RA6-CHPP'!$A$7:$BN$7,1)),0)+IFERROR(INDEX('RA7-Mine Infrastructure Area'!$A$8:$BN$8,1,MATCH(Summary!AK$1,'RA7-Mine Infrastructure Area'!$A$7:$BN$7,1)),0)+IFERROR(INDEX('RA8-Water Management Structures'!$A$8:$BN$8,1,MATCH(Summary!AK$1,'RA8-Water Management Structures'!$A$7:$BN$7,1)),0)+IFERROR(INDEX('RA9-Codisposal Upper'!$A$8:$BN$8,1,MATCH(Summary!AK$1,'RA9-Codisposal Upper'!$A$7:$BN$7,1)),0)+IFERROR(INDEX('RA10-Codisposal Slopes'!$A$8:$BN$8,1,MATCH(Summary!AK$1,'RA10-Codisposal Slopes'!$A$7:$BN$7,1)),0)+IFERROR(INDEX('IA1-Final Void inc Ramps'!$A$8:$BN$8,1,MATCH(Summary!AK$1,'IA1-Final Void inc Ramps'!$A$7:$BN$7,1)),0)</f>
        <v>2072.7509999999997</v>
      </c>
      <c r="AL12" s="51">
        <f>IFERROR(INDEX('RA1- Elevated Dumps Upper'!$A$8:$BN$8,1,MATCH(Summary!AL$1,'RA1- Elevated Dumps Upper'!$A$7:$BN$7,1)),0)+IFERROR(INDEX('RA2-Elevated Dumps Slopes'!$A$8:$BN$8,1,MATCH(Summary!AL$1,'RA2-Elevated Dumps Slopes'!$A$7:$BN$7,1)),0)+IFERROR(INDEX('RA3-Backfilled Pits'!$A$8:$BN$8,1,MATCH(Summary!AL$1,'RA3-Backfilled Pits'!$A$7:$BN$7,1)),0)+IFERROR(INDEX('RA4-Tracks_Roads'!$A$8:$BN$8,1,MATCH(Summary!AL$1,'RA4-Tracks_Roads'!$A$7:$BN$7,1)),0)+IFERROR(INDEX('RA5-ROM'!$A$8:$BN$8,1,MATCH(Summary!AL$1,'RA5-ROM'!$A$7:$BN$7,1)),0)+IFERROR(INDEX('RA6-CHPP'!$A$8:$BN$8,1,MATCH(Summary!AL$1,'RA6-CHPP'!$A$7:$BN$7,1)),0)+IFERROR(INDEX('RA7-Mine Infrastructure Area'!$A$8:$BN$8,1,MATCH(Summary!AL$1,'RA7-Mine Infrastructure Area'!$A$7:$BN$7,1)),0)+IFERROR(INDEX('RA8-Water Management Structures'!$A$8:$BN$8,1,MATCH(Summary!AL$1,'RA8-Water Management Structures'!$A$7:$BN$7,1)),0)+IFERROR(INDEX('RA9-Codisposal Upper'!$A$8:$BN$8,1,MATCH(Summary!AL$1,'RA9-Codisposal Upper'!$A$7:$BN$7,1)),0)+IFERROR(INDEX('RA10-Codisposal Slopes'!$A$8:$BN$8,1,MATCH(Summary!AL$1,'RA10-Codisposal Slopes'!$A$7:$BN$7,1)),0)+IFERROR(INDEX('IA1-Final Void inc Ramps'!$A$8:$BN$8,1,MATCH(Summary!AL$1,'IA1-Final Void inc Ramps'!$A$7:$BN$7,1)),0)</f>
        <v>2072.7509999999997</v>
      </c>
      <c r="AM12" s="51">
        <f>IFERROR(INDEX('RA1- Elevated Dumps Upper'!$A$8:$BN$8,1,MATCH(Summary!AM$1,'RA1- Elevated Dumps Upper'!$A$7:$BN$7,1)),0)+IFERROR(INDEX('RA2-Elevated Dumps Slopes'!$A$8:$BN$8,1,MATCH(Summary!AM$1,'RA2-Elevated Dumps Slopes'!$A$7:$BN$7,1)),0)+IFERROR(INDEX('RA3-Backfilled Pits'!$A$8:$BN$8,1,MATCH(Summary!AM$1,'RA3-Backfilled Pits'!$A$7:$BN$7,1)),0)+IFERROR(INDEX('RA4-Tracks_Roads'!$A$8:$BN$8,1,MATCH(Summary!AM$1,'RA4-Tracks_Roads'!$A$7:$BN$7,1)),0)+IFERROR(INDEX('RA5-ROM'!$A$8:$BN$8,1,MATCH(Summary!AM$1,'RA5-ROM'!$A$7:$BN$7,1)),0)+IFERROR(INDEX('RA6-CHPP'!$A$8:$BN$8,1,MATCH(Summary!AM$1,'RA6-CHPP'!$A$7:$BN$7,1)),0)+IFERROR(INDEX('RA7-Mine Infrastructure Area'!$A$8:$BN$8,1,MATCH(Summary!AM$1,'RA7-Mine Infrastructure Area'!$A$7:$BN$7,1)),0)+IFERROR(INDEX('RA8-Water Management Structures'!$A$8:$BN$8,1,MATCH(Summary!AM$1,'RA8-Water Management Structures'!$A$7:$BN$7,1)),0)+IFERROR(INDEX('RA9-Codisposal Upper'!$A$8:$BN$8,1,MATCH(Summary!AM$1,'RA9-Codisposal Upper'!$A$7:$BN$7,1)),0)+IFERROR(INDEX('RA10-Codisposal Slopes'!$A$8:$BN$8,1,MATCH(Summary!AM$1,'RA10-Codisposal Slopes'!$A$7:$BN$7,1)),0)+IFERROR(INDEX('IA1-Final Void inc Ramps'!$A$8:$BN$8,1,MATCH(Summary!AM$1,'IA1-Final Void inc Ramps'!$A$7:$BN$7,1)),0)</f>
        <v>2072.7509999999997</v>
      </c>
      <c r="AN12" s="51">
        <f>IFERROR(INDEX('RA1- Elevated Dumps Upper'!$A$8:$BN$8,1,MATCH(Summary!AN$1,'RA1- Elevated Dumps Upper'!$A$7:$BN$7,1)),0)+IFERROR(INDEX('RA2-Elevated Dumps Slopes'!$A$8:$BN$8,1,MATCH(Summary!AN$1,'RA2-Elevated Dumps Slopes'!$A$7:$BN$7,1)),0)+IFERROR(INDEX('RA3-Backfilled Pits'!$A$8:$BN$8,1,MATCH(Summary!AN$1,'RA3-Backfilled Pits'!$A$7:$BN$7,1)),0)+IFERROR(INDEX('RA4-Tracks_Roads'!$A$8:$BN$8,1,MATCH(Summary!AN$1,'RA4-Tracks_Roads'!$A$7:$BN$7,1)),0)+IFERROR(INDEX('RA5-ROM'!$A$8:$BN$8,1,MATCH(Summary!AN$1,'RA5-ROM'!$A$7:$BN$7,1)),0)+IFERROR(INDEX('RA6-CHPP'!$A$8:$BN$8,1,MATCH(Summary!AN$1,'RA6-CHPP'!$A$7:$BN$7,1)),0)+IFERROR(INDEX('RA7-Mine Infrastructure Area'!$A$8:$BN$8,1,MATCH(Summary!AN$1,'RA7-Mine Infrastructure Area'!$A$7:$BN$7,1)),0)+IFERROR(INDEX('RA8-Water Management Structures'!$A$8:$BN$8,1,MATCH(Summary!AN$1,'RA8-Water Management Structures'!$A$7:$BN$7,1)),0)+IFERROR(INDEX('RA9-Codisposal Upper'!$A$8:$BN$8,1,MATCH(Summary!AN$1,'RA9-Codisposal Upper'!$A$7:$BN$7,1)),0)+IFERROR(INDEX('RA10-Codisposal Slopes'!$A$8:$BN$8,1,MATCH(Summary!AN$1,'RA10-Codisposal Slopes'!$A$7:$BN$7,1)),0)+IFERROR(INDEX('IA1-Final Void inc Ramps'!$A$8:$BN$8,1,MATCH(Summary!AN$1,'IA1-Final Void inc Ramps'!$A$7:$BN$7,1)),0)</f>
        <v>2072.7509999999997</v>
      </c>
      <c r="AO12" s="51">
        <f>IFERROR(INDEX('RA1- Elevated Dumps Upper'!$A$8:$BN$8,1,MATCH(Summary!AO$1,'RA1- Elevated Dumps Upper'!$A$7:$BN$7,1)),0)+IFERROR(INDEX('RA2-Elevated Dumps Slopes'!$A$8:$BN$8,1,MATCH(Summary!AO$1,'RA2-Elevated Dumps Slopes'!$A$7:$BN$7,1)),0)+IFERROR(INDEX('RA3-Backfilled Pits'!$A$8:$BN$8,1,MATCH(Summary!AO$1,'RA3-Backfilled Pits'!$A$7:$BN$7,1)),0)+IFERROR(INDEX('RA4-Tracks_Roads'!$A$8:$BN$8,1,MATCH(Summary!AO$1,'RA4-Tracks_Roads'!$A$7:$BN$7,1)),0)+IFERROR(INDEX('RA5-ROM'!$A$8:$BN$8,1,MATCH(Summary!AO$1,'RA5-ROM'!$A$7:$BN$7,1)),0)+IFERROR(INDEX('RA6-CHPP'!$A$8:$BN$8,1,MATCH(Summary!AO$1,'RA6-CHPP'!$A$7:$BN$7,1)),0)+IFERROR(INDEX('RA7-Mine Infrastructure Area'!$A$8:$BN$8,1,MATCH(Summary!AO$1,'RA7-Mine Infrastructure Area'!$A$7:$BN$7,1)),0)+IFERROR(INDEX('RA8-Water Management Structures'!$A$8:$BN$8,1,MATCH(Summary!AO$1,'RA8-Water Management Structures'!$A$7:$BN$7,1)),0)+IFERROR(INDEX('RA9-Codisposal Upper'!$A$8:$BN$8,1,MATCH(Summary!AO$1,'RA9-Codisposal Upper'!$A$7:$BN$7,1)),0)+IFERROR(INDEX('RA10-Codisposal Slopes'!$A$8:$BN$8,1,MATCH(Summary!AO$1,'RA10-Codisposal Slopes'!$A$7:$BN$7,1)),0)+IFERROR(INDEX('IA1-Final Void inc Ramps'!$A$8:$BN$8,1,MATCH(Summary!AO$1,'IA1-Final Void inc Ramps'!$A$7:$BN$7,1)),0)</f>
        <v>2072.7509999999997</v>
      </c>
      <c r="AP12" s="51">
        <f>IFERROR(INDEX('RA1- Elevated Dumps Upper'!$A$8:$BN$8,1,MATCH(Summary!AP$1,'RA1- Elevated Dumps Upper'!$A$7:$BN$7,1)),0)+IFERROR(INDEX('RA2-Elevated Dumps Slopes'!$A$8:$BN$8,1,MATCH(Summary!AP$1,'RA2-Elevated Dumps Slopes'!$A$7:$BN$7,1)),0)+IFERROR(INDEX('RA3-Backfilled Pits'!$A$8:$BN$8,1,MATCH(Summary!AP$1,'RA3-Backfilled Pits'!$A$7:$BN$7,1)),0)+IFERROR(INDEX('RA4-Tracks_Roads'!$A$8:$BN$8,1,MATCH(Summary!AP$1,'RA4-Tracks_Roads'!$A$7:$BN$7,1)),0)+IFERROR(INDEX('RA5-ROM'!$A$8:$BN$8,1,MATCH(Summary!AP$1,'RA5-ROM'!$A$7:$BN$7,1)),0)+IFERROR(INDEX('RA6-CHPP'!$A$8:$BN$8,1,MATCH(Summary!AP$1,'RA6-CHPP'!$A$7:$BN$7,1)),0)+IFERROR(INDEX('RA7-Mine Infrastructure Area'!$A$8:$BN$8,1,MATCH(Summary!AP$1,'RA7-Mine Infrastructure Area'!$A$7:$BN$7,1)),0)+IFERROR(INDEX('RA8-Water Management Structures'!$A$8:$BN$8,1,MATCH(Summary!AP$1,'RA8-Water Management Structures'!$A$7:$BN$7,1)),0)+IFERROR(INDEX('RA9-Codisposal Upper'!$A$8:$BN$8,1,MATCH(Summary!AP$1,'RA9-Codisposal Upper'!$A$7:$BN$7,1)),0)+IFERROR(INDEX('RA10-Codisposal Slopes'!$A$8:$BN$8,1,MATCH(Summary!AP$1,'RA10-Codisposal Slopes'!$A$7:$BN$7,1)),0)+IFERROR(INDEX('IA1-Final Void inc Ramps'!$A$8:$BN$8,1,MATCH(Summary!AP$1,'IA1-Final Void inc Ramps'!$A$7:$BN$7,1)),0)</f>
        <v>2072.7509999999997</v>
      </c>
      <c r="AQ12" s="51">
        <f>IFERROR(INDEX('RA1- Elevated Dumps Upper'!$A$8:$BN$8,1,MATCH(Summary!AQ$1,'RA1- Elevated Dumps Upper'!$A$7:$BN$7,1)),0)+IFERROR(INDEX('RA2-Elevated Dumps Slopes'!$A$8:$BN$8,1,MATCH(Summary!AQ$1,'RA2-Elevated Dumps Slopes'!$A$7:$BN$7,1)),0)+IFERROR(INDEX('RA3-Backfilled Pits'!$A$8:$BN$8,1,MATCH(Summary!AQ$1,'RA3-Backfilled Pits'!$A$7:$BN$7,1)),0)+IFERROR(INDEX('RA4-Tracks_Roads'!$A$8:$BN$8,1,MATCH(Summary!AQ$1,'RA4-Tracks_Roads'!$A$7:$BN$7,1)),0)+IFERROR(INDEX('RA5-ROM'!$A$8:$BN$8,1,MATCH(Summary!AQ$1,'RA5-ROM'!$A$7:$BN$7,1)),0)+IFERROR(INDEX('RA6-CHPP'!$A$8:$BN$8,1,MATCH(Summary!AQ$1,'RA6-CHPP'!$A$7:$BN$7,1)),0)+IFERROR(INDEX('RA7-Mine Infrastructure Area'!$A$8:$BN$8,1,MATCH(Summary!AQ$1,'RA7-Mine Infrastructure Area'!$A$7:$BN$7,1)),0)+IFERROR(INDEX('RA8-Water Management Structures'!$A$8:$BN$8,1,MATCH(Summary!AQ$1,'RA8-Water Management Structures'!$A$7:$BN$7,1)),0)+IFERROR(INDEX('RA9-Codisposal Upper'!$A$8:$BN$8,1,MATCH(Summary!AQ$1,'RA9-Codisposal Upper'!$A$7:$BN$7,1)),0)+IFERROR(INDEX('RA10-Codisposal Slopes'!$A$8:$BN$8,1,MATCH(Summary!AQ$1,'RA10-Codisposal Slopes'!$A$7:$BN$7,1)),0)+IFERROR(INDEX('IA1-Final Void inc Ramps'!$A$8:$BN$8,1,MATCH(Summary!AQ$1,'IA1-Final Void inc Ramps'!$A$7:$BN$7,1)),0)</f>
        <v>2072.7509999999997</v>
      </c>
      <c r="AR12" s="51">
        <f>IFERROR(INDEX('RA1- Elevated Dumps Upper'!$A$8:$BN$8,1,MATCH(Summary!AR$1,'RA1- Elevated Dumps Upper'!$A$7:$BN$7,1)),0)+IFERROR(INDEX('RA2-Elevated Dumps Slopes'!$A$8:$BN$8,1,MATCH(Summary!AR$1,'RA2-Elevated Dumps Slopes'!$A$7:$BN$7,1)),0)+IFERROR(INDEX('RA3-Backfilled Pits'!$A$8:$BN$8,1,MATCH(Summary!AR$1,'RA3-Backfilled Pits'!$A$7:$BN$7,1)),0)+IFERROR(INDEX('RA4-Tracks_Roads'!$A$8:$BN$8,1,MATCH(Summary!AR$1,'RA4-Tracks_Roads'!$A$7:$BN$7,1)),0)+IFERROR(INDEX('RA5-ROM'!$A$8:$BN$8,1,MATCH(Summary!AR$1,'RA5-ROM'!$A$7:$BN$7,1)),0)+IFERROR(INDEX('RA6-CHPP'!$A$8:$BN$8,1,MATCH(Summary!AR$1,'RA6-CHPP'!$A$7:$BN$7,1)),0)+IFERROR(INDEX('RA7-Mine Infrastructure Area'!$A$8:$BN$8,1,MATCH(Summary!AR$1,'RA7-Mine Infrastructure Area'!$A$7:$BN$7,1)),0)+IFERROR(INDEX('RA8-Water Management Structures'!$A$8:$BN$8,1,MATCH(Summary!AR$1,'RA8-Water Management Structures'!$A$7:$BN$7,1)),0)+IFERROR(INDEX('RA9-Codisposal Upper'!$A$8:$BN$8,1,MATCH(Summary!AR$1,'RA9-Codisposal Upper'!$A$7:$BN$7,1)),0)+IFERROR(INDEX('RA10-Codisposal Slopes'!$A$8:$BN$8,1,MATCH(Summary!AR$1,'RA10-Codisposal Slopes'!$A$7:$BN$7,1)),0)+IFERROR(INDEX('IA1-Final Void inc Ramps'!$A$8:$BN$8,1,MATCH(Summary!AR$1,'IA1-Final Void inc Ramps'!$A$7:$BN$7,1)),0)</f>
        <v>2072.7509999999997</v>
      </c>
      <c r="AS12" s="51">
        <f>IFERROR(INDEX('RA1- Elevated Dumps Upper'!$A$8:$BN$8,1,MATCH(Summary!AS$1,'RA1- Elevated Dumps Upper'!$A$7:$BN$7,1)),0)+IFERROR(INDEX('RA2-Elevated Dumps Slopes'!$A$8:$BN$8,1,MATCH(Summary!AS$1,'RA2-Elevated Dumps Slopes'!$A$7:$BN$7,1)),0)+IFERROR(INDEX('RA3-Backfilled Pits'!$A$8:$BN$8,1,MATCH(Summary!AS$1,'RA3-Backfilled Pits'!$A$7:$BN$7,1)),0)+IFERROR(INDEX('RA4-Tracks_Roads'!$A$8:$BN$8,1,MATCH(Summary!AS$1,'RA4-Tracks_Roads'!$A$7:$BN$7,1)),0)+IFERROR(INDEX('RA5-ROM'!$A$8:$BN$8,1,MATCH(Summary!AS$1,'RA5-ROM'!$A$7:$BN$7,1)),0)+IFERROR(INDEX('RA6-CHPP'!$A$8:$BN$8,1,MATCH(Summary!AS$1,'RA6-CHPP'!$A$7:$BN$7,1)),0)+IFERROR(INDEX('RA7-Mine Infrastructure Area'!$A$8:$BN$8,1,MATCH(Summary!AS$1,'RA7-Mine Infrastructure Area'!$A$7:$BN$7,1)),0)+IFERROR(INDEX('RA8-Water Management Structures'!$A$8:$BN$8,1,MATCH(Summary!AS$1,'RA8-Water Management Structures'!$A$7:$BN$7,1)),0)+IFERROR(INDEX('RA9-Codisposal Upper'!$A$8:$BN$8,1,MATCH(Summary!AS$1,'RA9-Codisposal Upper'!$A$7:$BN$7,1)),0)+IFERROR(INDEX('RA10-Codisposal Slopes'!$A$8:$BN$8,1,MATCH(Summary!AS$1,'RA10-Codisposal Slopes'!$A$7:$BN$7,1)),0)+IFERROR(INDEX('IA1-Final Void inc Ramps'!$A$8:$BN$8,1,MATCH(Summary!AS$1,'IA1-Final Void inc Ramps'!$A$7:$BN$7,1)),0)</f>
        <v>2072.7509999999997</v>
      </c>
      <c r="AT12" s="51">
        <f>IFERROR(INDEX('RA1- Elevated Dumps Upper'!$A$8:$BN$8,1,MATCH(Summary!AT$1,'RA1- Elevated Dumps Upper'!$A$7:$BN$7,1)),0)+IFERROR(INDEX('RA2-Elevated Dumps Slopes'!$A$8:$BN$8,1,MATCH(Summary!AT$1,'RA2-Elevated Dumps Slopes'!$A$7:$BN$7,1)),0)+IFERROR(INDEX('RA3-Backfilled Pits'!$A$8:$BN$8,1,MATCH(Summary!AT$1,'RA3-Backfilled Pits'!$A$7:$BN$7,1)),0)+IFERROR(INDEX('RA4-Tracks_Roads'!$A$8:$BN$8,1,MATCH(Summary!AT$1,'RA4-Tracks_Roads'!$A$7:$BN$7,1)),0)+IFERROR(INDEX('RA5-ROM'!$A$8:$BN$8,1,MATCH(Summary!AT$1,'RA5-ROM'!$A$7:$BN$7,1)),0)+IFERROR(INDEX('RA6-CHPP'!$A$8:$BN$8,1,MATCH(Summary!AT$1,'RA6-CHPP'!$A$7:$BN$7,1)),0)+IFERROR(INDEX('RA7-Mine Infrastructure Area'!$A$8:$BN$8,1,MATCH(Summary!AT$1,'RA7-Mine Infrastructure Area'!$A$7:$BN$7,1)),0)+IFERROR(INDEX('RA8-Water Management Structures'!$A$8:$BN$8,1,MATCH(Summary!AT$1,'RA8-Water Management Structures'!$A$7:$BN$7,1)),0)+IFERROR(INDEX('RA9-Codisposal Upper'!$A$8:$BN$8,1,MATCH(Summary!AT$1,'RA9-Codisposal Upper'!$A$7:$BN$7,1)),0)+IFERROR(INDEX('RA10-Codisposal Slopes'!$A$8:$BN$8,1,MATCH(Summary!AT$1,'RA10-Codisposal Slopes'!$A$7:$BN$7,1)),0)+IFERROR(INDEX('IA1-Final Void inc Ramps'!$A$8:$BN$8,1,MATCH(Summary!AT$1,'IA1-Final Void inc Ramps'!$A$7:$BN$7,1)),0)</f>
        <v>2072.7509999999997</v>
      </c>
      <c r="AU12" s="51">
        <f>IFERROR(INDEX('RA1- Elevated Dumps Upper'!$A$8:$BN$8,1,MATCH(Summary!AU$1,'RA1- Elevated Dumps Upper'!$A$7:$BN$7,1)),0)+IFERROR(INDEX('RA2-Elevated Dumps Slopes'!$A$8:$BN$8,1,MATCH(Summary!AU$1,'RA2-Elevated Dumps Slopes'!$A$7:$BN$7,1)),0)+IFERROR(INDEX('RA3-Backfilled Pits'!$A$8:$BN$8,1,MATCH(Summary!AU$1,'RA3-Backfilled Pits'!$A$7:$BN$7,1)),0)+IFERROR(INDEX('RA4-Tracks_Roads'!$A$8:$BN$8,1,MATCH(Summary!AU$1,'RA4-Tracks_Roads'!$A$7:$BN$7,1)),0)+IFERROR(INDEX('RA5-ROM'!$A$8:$BN$8,1,MATCH(Summary!AU$1,'RA5-ROM'!$A$7:$BN$7,1)),0)+IFERROR(INDEX('RA6-CHPP'!$A$8:$BN$8,1,MATCH(Summary!AU$1,'RA6-CHPP'!$A$7:$BN$7,1)),0)+IFERROR(INDEX('RA7-Mine Infrastructure Area'!$A$8:$BN$8,1,MATCH(Summary!AU$1,'RA7-Mine Infrastructure Area'!$A$7:$BN$7,1)),0)+IFERROR(INDEX('RA8-Water Management Structures'!$A$8:$BN$8,1,MATCH(Summary!AU$1,'RA8-Water Management Structures'!$A$7:$BN$7,1)),0)+IFERROR(INDEX('RA9-Codisposal Upper'!$A$8:$BN$8,1,MATCH(Summary!AU$1,'RA9-Codisposal Upper'!$A$7:$BN$7,1)),0)+IFERROR(INDEX('RA10-Codisposal Slopes'!$A$8:$BN$8,1,MATCH(Summary!AU$1,'RA10-Codisposal Slopes'!$A$7:$BN$7,1)),0)+IFERROR(INDEX('IA1-Final Void inc Ramps'!$A$8:$BN$8,1,MATCH(Summary!AU$1,'IA1-Final Void inc Ramps'!$A$7:$BN$7,1)),0)</f>
        <v>2072.7509999999997</v>
      </c>
      <c r="AV12" s="51">
        <f>IFERROR(INDEX('RA1- Elevated Dumps Upper'!$A$8:$BN$8,1,MATCH(Summary!AV$1,'RA1- Elevated Dumps Upper'!$A$7:$BN$7,1)),0)+IFERROR(INDEX('RA2-Elevated Dumps Slopes'!$A$8:$BN$8,1,MATCH(Summary!AV$1,'RA2-Elevated Dumps Slopes'!$A$7:$BN$7,1)),0)+IFERROR(INDEX('RA3-Backfilled Pits'!$A$8:$BN$8,1,MATCH(Summary!AV$1,'RA3-Backfilled Pits'!$A$7:$BN$7,1)),0)+IFERROR(INDEX('RA4-Tracks_Roads'!$A$8:$BN$8,1,MATCH(Summary!AV$1,'RA4-Tracks_Roads'!$A$7:$BN$7,1)),0)+IFERROR(INDEX('RA5-ROM'!$A$8:$BN$8,1,MATCH(Summary!AV$1,'RA5-ROM'!$A$7:$BN$7,1)),0)+IFERROR(INDEX('RA6-CHPP'!$A$8:$BN$8,1,MATCH(Summary!AV$1,'RA6-CHPP'!$A$7:$BN$7,1)),0)+IFERROR(INDEX('RA7-Mine Infrastructure Area'!$A$8:$BN$8,1,MATCH(Summary!AV$1,'RA7-Mine Infrastructure Area'!$A$7:$BN$7,1)),0)+IFERROR(INDEX('RA8-Water Management Structures'!$A$8:$BN$8,1,MATCH(Summary!AV$1,'RA8-Water Management Structures'!$A$7:$BN$7,1)),0)+IFERROR(INDEX('RA9-Codisposal Upper'!$A$8:$BN$8,1,MATCH(Summary!AV$1,'RA9-Codisposal Upper'!$A$7:$BN$7,1)),0)+IFERROR(INDEX('RA10-Codisposal Slopes'!$A$8:$BN$8,1,MATCH(Summary!AV$1,'RA10-Codisposal Slopes'!$A$7:$BN$7,1)),0)+IFERROR(INDEX('IA1-Final Void inc Ramps'!$A$8:$BN$8,1,MATCH(Summary!AV$1,'IA1-Final Void inc Ramps'!$A$7:$BN$7,1)),0)</f>
        <v>2072.7509999999997</v>
      </c>
      <c r="AW12" s="51">
        <f>IFERROR(INDEX('RA1- Elevated Dumps Upper'!$A$8:$BN$8,1,MATCH(Summary!AW$1,'RA1- Elevated Dumps Upper'!$A$7:$BN$7,1)),0)+IFERROR(INDEX('RA2-Elevated Dumps Slopes'!$A$8:$BN$8,1,MATCH(Summary!AW$1,'RA2-Elevated Dumps Slopes'!$A$7:$BN$7,1)),0)+IFERROR(INDEX('RA3-Backfilled Pits'!$A$8:$BN$8,1,MATCH(Summary!AW$1,'RA3-Backfilled Pits'!$A$7:$BN$7,1)),0)+IFERROR(INDEX('RA4-Tracks_Roads'!$A$8:$BN$8,1,MATCH(Summary!AW$1,'RA4-Tracks_Roads'!$A$7:$BN$7,1)),0)+IFERROR(INDEX('RA5-ROM'!$A$8:$BN$8,1,MATCH(Summary!AW$1,'RA5-ROM'!$A$7:$BN$7,1)),0)+IFERROR(INDEX('RA6-CHPP'!$A$8:$BN$8,1,MATCH(Summary!AW$1,'RA6-CHPP'!$A$7:$BN$7,1)),0)+IFERROR(INDEX('RA7-Mine Infrastructure Area'!$A$8:$BN$8,1,MATCH(Summary!AW$1,'RA7-Mine Infrastructure Area'!$A$7:$BN$7,1)),0)+IFERROR(INDEX('RA8-Water Management Structures'!$A$8:$BN$8,1,MATCH(Summary!AW$1,'RA8-Water Management Structures'!$A$7:$BN$7,1)),0)+IFERROR(INDEX('RA9-Codisposal Upper'!$A$8:$BN$8,1,MATCH(Summary!AW$1,'RA9-Codisposal Upper'!$A$7:$BN$7,1)),0)+IFERROR(INDEX('RA10-Codisposal Slopes'!$A$8:$BN$8,1,MATCH(Summary!AW$1,'RA10-Codisposal Slopes'!$A$7:$BN$7,1)),0)+IFERROR(INDEX('IA1-Final Void inc Ramps'!$A$8:$BN$8,1,MATCH(Summary!AW$1,'IA1-Final Void inc Ramps'!$A$7:$BN$7,1)),0)</f>
        <v>2072.7509999999997</v>
      </c>
      <c r="AX12" s="51">
        <f>IFERROR(INDEX('RA1- Elevated Dumps Upper'!$A$8:$BN$8,1,MATCH(Summary!AX$1,'RA1- Elevated Dumps Upper'!$A$7:$BN$7,1)),0)+IFERROR(INDEX('RA2-Elevated Dumps Slopes'!$A$8:$BN$8,1,MATCH(Summary!AX$1,'RA2-Elevated Dumps Slopes'!$A$7:$BN$7,1)),0)+IFERROR(INDEX('RA3-Backfilled Pits'!$A$8:$BN$8,1,MATCH(Summary!AX$1,'RA3-Backfilled Pits'!$A$7:$BN$7,1)),0)+IFERROR(INDEX('RA4-Tracks_Roads'!$A$8:$BN$8,1,MATCH(Summary!AX$1,'RA4-Tracks_Roads'!$A$7:$BN$7,1)),0)+IFERROR(INDEX('RA5-ROM'!$A$8:$BN$8,1,MATCH(Summary!AX$1,'RA5-ROM'!$A$7:$BN$7,1)),0)+IFERROR(INDEX('RA6-CHPP'!$A$8:$BN$8,1,MATCH(Summary!AX$1,'RA6-CHPP'!$A$7:$BN$7,1)),0)+IFERROR(INDEX('RA7-Mine Infrastructure Area'!$A$8:$BN$8,1,MATCH(Summary!AX$1,'RA7-Mine Infrastructure Area'!$A$7:$BN$7,1)),0)+IFERROR(INDEX('RA8-Water Management Structures'!$A$8:$BN$8,1,MATCH(Summary!AX$1,'RA8-Water Management Structures'!$A$7:$BN$7,1)),0)+IFERROR(INDEX('RA9-Codisposal Upper'!$A$8:$BN$8,1,MATCH(Summary!AX$1,'RA9-Codisposal Upper'!$A$7:$BN$7,1)),0)+IFERROR(INDEX('RA10-Codisposal Slopes'!$A$8:$BN$8,1,MATCH(Summary!AX$1,'RA10-Codisposal Slopes'!$A$7:$BN$7,1)),0)+IFERROR(INDEX('IA1-Final Void inc Ramps'!$A$8:$BN$8,1,MATCH(Summary!AX$1,'IA1-Final Void inc Ramps'!$A$7:$BN$7,1)),0)</f>
        <v>2072.7509999999997</v>
      </c>
      <c r="AY12" s="51">
        <f>IFERROR(INDEX('RA1- Elevated Dumps Upper'!$A$8:$BN$8,1,MATCH(Summary!AY$1,'RA1- Elevated Dumps Upper'!$A$7:$BN$7,1)),0)+IFERROR(INDEX('RA2-Elevated Dumps Slopes'!$A$8:$BN$8,1,MATCH(Summary!AY$1,'RA2-Elevated Dumps Slopes'!$A$7:$BN$7,1)),0)+IFERROR(INDEX('RA3-Backfilled Pits'!$A$8:$BN$8,1,MATCH(Summary!AY$1,'RA3-Backfilled Pits'!$A$7:$BN$7,1)),0)+IFERROR(INDEX('RA4-Tracks_Roads'!$A$8:$BN$8,1,MATCH(Summary!AY$1,'RA4-Tracks_Roads'!$A$7:$BN$7,1)),0)+IFERROR(INDEX('RA5-ROM'!$A$8:$BN$8,1,MATCH(Summary!AY$1,'RA5-ROM'!$A$7:$BN$7,1)),0)+IFERROR(INDEX('RA6-CHPP'!$A$8:$BN$8,1,MATCH(Summary!AY$1,'RA6-CHPP'!$A$7:$BN$7,1)),0)+IFERROR(INDEX('RA7-Mine Infrastructure Area'!$A$8:$BN$8,1,MATCH(Summary!AY$1,'RA7-Mine Infrastructure Area'!$A$7:$BN$7,1)),0)+IFERROR(INDEX('RA8-Water Management Structures'!$A$8:$BN$8,1,MATCH(Summary!AY$1,'RA8-Water Management Structures'!$A$7:$BN$7,1)),0)+IFERROR(INDEX('RA9-Codisposal Upper'!$A$8:$BN$8,1,MATCH(Summary!AY$1,'RA9-Codisposal Upper'!$A$7:$BN$7,1)),0)+IFERROR(INDEX('RA10-Codisposal Slopes'!$A$8:$BN$8,1,MATCH(Summary!AY$1,'RA10-Codisposal Slopes'!$A$7:$BN$7,1)),0)+IFERROR(INDEX('IA1-Final Void inc Ramps'!$A$8:$BN$8,1,MATCH(Summary!AY$1,'IA1-Final Void inc Ramps'!$A$7:$BN$7,1)),0)</f>
        <v>2072.7509999999997</v>
      </c>
      <c r="AZ12" s="51">
        <f>IFERROR(INDEX('RA1- Elevated Dumps Upper'!$A$8:$BN$8,1,MATCH(Summary!AZ$1,'RA1- Elevated Dumps Upper'!$A$7:$BN$7,1)),0)+IFERROR(INDEX('RA2-Elevated Dumps Slopes'!$A$8:$BN$8,1,MATCH(Summary!AZ$1,'RA2-Elevated Dumps Slopes'!$A$7:$BN$7,1)),0)+IFERROR(INDEX('RA3-Backfilled Pits'!$A$8:$BN$8,1,MATCH(Summary!AZ$1,'RA3-Backfilled Pits'!$A$7:$BN$7,1)),0)+IFERROR(INDEX('RA4-Tracks_Roads'!$A$8:$BN$8,1,MATCH(Summary!AZ$1,'RA4-Tracks_Roads'!$A$7:$BN$7,1)),0)+IFERROR(INDEX('RA5-ROM'!$A$8:$BN$8,1,MATCH(Summary!AZ$1,'RA5-ROM'!$A$7:$BN$7,1)),0)+IFERROR(INDEX('RA6-CHPP'!$A$8:$BN$8,1,MATCH(Summary!AZ$1,'RA6-CHPP'!$A$7:$BN$7,1)),0)+IFERROR(INDEX('RA7-Mine Infrastructure Area'!$A$8:$BN$8,1,MATCH(Summary!AZ$1,'RA7-Mine Infrastructure Area'!$A$7:$BN$7,1)),0)+IFERROR(INDEX('RA8-Water Management Structures'!$A$8:$BN$8,1,MATCH(Summary!AZ$1,'RA8-Water Management Structures'!$A$7:$BN$7,1)),0)+IFERROR(INDEX('RA9-Codisposal Upper'!$A$8:$BN$8,1,MATCH(Summary!AZ$1,'RA9-Codisposal Upper'!$A$7:$BN$7,1)),0)+IFERROR(INDEX('RA10-Codisposal Slopes'!$A$8:$BN$8,1,MATCH(Summary!AZ$1,'RA10-Codisposal Slopes'!$A$7:$BN$7,1)),0)+IFERROR(INDEX('IA1-Final Void inc Ramps'!$A$8:$BN$8,1,MATCH(Summary!AZ$1,'IA1-Final Void inc Ramps'!$A$7:$BN$7,1)),0)</f>
        <v>2072.7509999999997</v>
      </c>
      <c r="BA12" s="51">
        <f>IFERROR(INDEX('RA1- Elevated Dumps Upper'!$A$8:$BN$8,1,MATCH(Summary!BA$1,'RA1- Elevated Dumps Upper'!$A$7:$BN$7,1)),0)+IFERROR(INDEX('RA2-Elevated Dumps Slopes'!$A$8:$BN$8,1,MATCH(Summary!BA$1,'RA2-Elevated Dumps Slopes'!$A$7:$BN$7,1)),0)+IFERROR(INDEX('RA3-Backfilled Pits'!$A$8:$BN$8,1,MATCH(Summary!BA$1,'RA3-Backfilled Pits'!$A$7:$BN$7,1)),0)+IFERROR(INDEX('RA4-Tracks_Roads'!$A$8:$BN$8,1,MATCH(Summary!BA$1,'RA4-Tracks_Roads'!$A$7:$BN$7,1)),0)+IFERROR(INDEX('RA5-ROM'!$A$8:$BN$8,1,MATCH(Summary!BA$1,'RA5-ROM'!$A$7:$BN$7,1)),0)+IFERROR(INDEX('RA6-CHPP'!$A$8:$BN$8,1,MATCH(Summary!BA$1,'RA6-CHPP'!$A$7:$BN$7,1)),0)+IFERROR(INDEX('RA7-Mine Infrastructure Area'!$A$8:$BN$8,1,MATCH(Summary!BA$1,'RA7-Mine Infrastructure Area'!$A$7:$BN$7,1)),0)+IFERROR(INDEX('RA8-Water Management Structures'!$A$8:$BN$8,1,MATCH(Summary!BA$1,'RA8-Water Management Structures'!$A$7:$BN$7,1)),0)+IFERROR(INDEX('RA9-Codisposal Upper'!$A$8:$BN$8,1,MATCH(Summary!BA$1,'RA9-Codisposal Upper'!$A$7:$BN$7,1)),0)+IFERROR(INDEX('RA10-Codisposal Slopes'!$A$8:$BN$8,1,MATCH(Summary!BA$1,'RA10-Codisposal Slopes'!$A$7:$BN$7,1)),0)+IFERROR(INDEX('IA1-Final Void inc Ramps'!$A$8:$BN$8,1,MATCH(Summary!BA$1,'IA1-Final Void inc Ramps'!$A$7:$BN$7,1)),0)</f>
        <v>2072.7509999999997</v>
      </c>
      <c r="BB12" s="51">
        <f>IFERROR(INDEX('RA1- Elevated Dumps Upper'!$A$8:$BN$8,1,MATCH(Summary!BB$1,'RA1- Elevated Dumps Upper'!$A$7:$BN$7,1)),0)+IFERROR(INDEX('RA2-Elevated Dumps Slopes'!$A$8:$BN$8,1,MATCH(Summary!BB$1,'RA2-Elevated Dumps Slopes'!$A$7:$BN$7,1)),0)+IFERROR(INDEX('RA3-Backfilled Pits'!$A$8:$BN$8,1,MATCH(Summary!BB$1,'RA3-Backfilled Pits'!$A$7:$BN$7,1)),0)+IFERROR(INDEX('RA4-Tracks_Roads'!$A$8:$BN$8,1,MATCH(Summary!BB$1,'RA4-Tracks_Roads'!$A$7:$BN$7,1)),0)+IFERROR(INDEX('RA5-ROM'!$A$8:$BN$8,1,MATCH(Summary!BB$1,'RA5-ROM'!$A$7:$BN$7,1)),0)+IFERROR(INDEX('RA6-CHPP'!$A$8:$BN$8,1,MATCH(Summary!BB$1,'RA6-CHPP'!$A$7:$BN$7,1)),0)+IFERROR(INDEX('RA7-Mine Infrastructure Area'!$A$8:$BN$8,1,MATCH(Summary!BB$1,'RA7-Mine Infrastructure Area'!$A$7:$BN$7,1)),0)+IFERROR(INDEX('RA8-Water Management Structures'!$A$8:$BN$8,1,MATCH(Summary!BB$1,'RA8-Water Management Structures'!$A$7:$BN$7,1)),0)+IFERROR(INDEX('RA9-Codisposal Upper'!$A$8:$BN$8,1,MATCH(Summary!BB$1,'RA9-Codisposal Upper'!$A$7:$BN$7,1)),0)+IFERROR(INDEX('RA10-Codisposal Slopes'!$A$8:$BN$8,1,MATCH(Summary!BB$1,'RA10-Codisposal Slopes'!$A$7:$BN$7,1)),0)+IFERROR(INDEX('IA1-Final Void inc Ramps'!$A$8:$BN$8,1,MATCH(Summary!BB$1,'IA1-Final Void inc Ramps'!$A$7:$BN$7,1)),0)</f>
        <v>2072.7509999999997</v>
      </c>
      <c r="BC12" s="51">
        <f>IFERROR(INDEX('RA1- Elevated Dumps Upper'!$A$8:$BN$8,1,MATCH(Summary!BC$1,'RA1- Elevated Dumps Upper'!$A$7:$BN$7,1)),0)+IFERROR(INDEX('RA2-Elevated Dumps Slopes'!$A$8:$BN$8,1,MATCH(Summary!BC$1,'RA2-Elevated Dumps Slopes'!$A$7:$BN$7,1)),0)+IFERROR(INDEX('RA3-Backfilled Pits'!$A$8:$BN$8,1,MATCH(Summary!BC$1,'RA3-Backfilled Pits'!$A$7:$BN$7,1)),0)+IFERROR(INDEX('RA4-Tracks_Roads'!$A$8:$BN$8,1,MATCH(Summary!BC$1,'RA4-Tracks_Roads'!$A$7:$BN$7,1)),0)+IFERROR(INDEX('RA5-ROM'!$A$8:$BN$8,1,MATCH(Summary!BC$1,'RA5-ROM'!$A$7:$BN$7,1)),0)+IFERROR(INDEX('RA6-CHPP'!$A$8:$BN$8,1,MATCH(Summary!BC$1,'RA6-CHPP'!$A$7:$BN$7,1)),0)+IFERROR(INDEX('RA7-Mine Infrastructure Area'!$A$8:$BN$8,1,MATCH(Summary!BC$1,'RA7-Mine Infrastructure Area'!$A$7:$BN$7,1)),0)+IFERROR(INDEX('RA8-Water Management Structures'!$A$8:$BN$8,1,MATCH(Summary!BC$1,'RA8-Water Management Structures'!$A$7:$BN$7,1)),0)+IFERROR(INDEX('RA9-Codisposal Upper'!$A$8:$BN$8,1,MATCH(Summary!BC$1,'RA9-Codisposal Upper'!$A$7:$BN$7,1)),0)+IFERROR(INDEX('RA10-Codisposal Slopes'!$A$8:$BN$8,1,MATCH(Summary!BC$1,'RA10-Codisposal Slopes'!$A$7:$BN$7,1)),0)+IFERROR(INDEX('IA1-Final Void inc Ramps'!$A$8:$BN$8,1,MATCH(Summary!BC$1,'IA1-Final Void inc Ramps'!$A$7:$BN$7,1)),0)</f>
        <v>2072.7509999999997</v>
      </c>
      <c r="BD12" s="51">
        <f>IFERROR(INDEX('RA1- Elevated Dumps Upper'!$A$8:$BN$8,1,MATCH(Summary!BD$1,'RA1- Elevated Dumps Upper'!$A$7:$BN$7,1)),0)+IFERROR(INDEX('RA2-Elevated Dumps Slopes'!$A$8:$BN$8,1,MATCH(Summary!BD$1,'RA2-Elevated Dumps Slopes'!$A$7:$BN$7,1)),0)+IFERROR(INDEX('RA3-Backfilled Pits'!$A$8:$BN$8,1,MATCH(Summary!BD$1,'RA3-Backfilled Pits'!$A$7:$BN$7,1)),0)+IFERROR(INDEX('RA4-Tracks_Roads'!$A$8:$BN$8,1,MATCH(Summary!BD$1,'RA4-Tracks_Roads'!$A$7:$BN$7,1)),0)+IFERROR(INDEX('RA5-ROM'!$A$8:$BN$8,1,MATCH(Summary!BD$1,'RA5-ROM'!$A$7:$BN$7,1)),0)+IFERROR(INDEX('RA6-CHPP'!$A$8:$BN$8,1,MATCH(Summary!BD$1,'RA6-CHPP'!$A$7:$BN$7,1)),0)+IFERROR(INDEX('RA7-Mine Infrastructure Area'!$A$8:$BN$8,1,MATCH(Summary!BD$1,'RA7-Mine Infrastructure Area'!$A$7:$BN$7,1)),0)+IFERROR(INDEX('RA8-Water Management Structures'!$A$8:$BN$8,1,MATCH(Summary!BD$1,'RA8-Water Management Structures'!$A$7:$BN$7,1)),0)+IFERROR(INDEX('RA9-Codisposal Upper'!$A$8:$BN$8,1,MATCH(Summary!BD$1,'RA9-Codisposal Upper'!$A$7:$BN$7,1)),0)+IFERROR(INDEX('RA10-Codisposal Slopes'!$A$8:$BN$8,1,MATCH(Summary!BD$1,'RA10-Codisposal Slopes'!$A$7:$BN$7,1)),0)+IFERROR(INDEX('IA1-Final Void inc Ramps'!$A$8:$BN$8,1,MATCH(Summary!BD$1,'IA1-Final Void inc Ramps'!$A$7:$BN$7,1)),0)</f>
        <v>2072.7509999999997</v>
      </c>
      <c r="BE12" s="51">
        <f>IFERROR(INDEX('RA1- Elevated Dumps Upper'!$A$8:$BN$8,1,MATCH(Summary!BE$1,'RA1- Elevated Dumps Upper'!$A$7:$BN$7,1)),0)+IFERROR(INDEX('RA2-Elevated Dumps Slopes'!$A$8:$BN$8,1,MATCH(Summary!BE$1,'RA2-Elevated Dumps Slopes'!$A$7:$BN$7,1)),0)+IFERROR(INDEX('RA3-Backfilled Pits'!$A$8:$BN$8,1,MATCH(Summary!BE$1,'RA3-Backfilled Pits'!$A$7:$BN$7,1)),0)+IFERROR(INDEX('RA4-Tracks_Roads'!$A$8:$BN$8,1,MATCH(Summary!BE$1,'RA4-Tracks_Roads'!$A$7:$BN$7,1)),0)+IFERROR(INDEX('RA5-ROM'!$A$8:$BN$8,1,MATCH(Summary!BE$1,'RA5-ROM'!$A$7:$BN$7,1)),0)+IFERROR(INDEX('RA6-CHPP'!$A$8:$BN$8,1,MATCH(Summary!BE$1,'RA6-CHPP'!$A$7:$BN$7,1)),0)+IFERROR(INDEX('RA7-Mine Infrastructure Area'!$A$8:$BN$8,1,MATCH(Summary!BE$1,'RA7-Mine Infrastructure Area'!$A$7:$BN$7,1)),0)+IFERROR(INDEX('RA8-Water Management Structures'!$A$8:$BN$8,1,MATCH(Summary!BE$1,'RA8-Water Management Structures'!$A$7:$BN$7,1)),0)+IFERROR(INDEX('RA9-Codisposal Upper'!$A$8:$BN$8,1,MATCH(Summary!BE$1,'RA9-Codisposal Upper'!$A$7:$BN$7,1)),0)+IFERROR(INDEX('RA10-Codisposal Slopes'!$A$8:$BN$8,1,MATCH(Summary!BE$1,'RA10-Codisposal Slopes'!$A$7:$BN$7,1)),0)+IFERROR(INDEX('IA1-Final Void inc Ramps'!$A$8:$BN$8,1,MATCH(Summary!BE$1,'IA1-Final Void inc Ramps'!$A$7:$BN$7,1)),0)</f>
        <v>2072.7509999999997</v>
      </c>
      <c r="BF12" s="51">
        <f>IFERROR(INDEX('RA1- Elevated Dumps Upper'!$A$8:$BN$8,1,MATCH(Summary!BF$1,'RA1- Elevated Dumps Upper'!$A$7:$BN$7,1)),0)+IFERROR(INDEX('RA2-Elevated Dumps Slopes'!$A$8:$BN$8,1,MATCH(Summary!BF$1,'RA2-Elevated Dumps Slopes'!$A$7:$BN$7,1)),0)+IFERROR(INDEX('RA3-Backfilled Pits'!$A$8:$BN$8,1,MATCH(Summary!BF$1,'RA3-Backfilled Pits'!$A$7:$BN$7,1)),0)+IFERROR(INDEX('RA4-Tracks_Roads'!$A$8:$BN$8,1,MATCH(Summary!BF$1,'RA4-Tracks_Roads'!$A$7:$BN$7,1)),0)+IFERROR(INDEX('RA5-ROM'!$A$8:$BN$8,1,MATCH(Summary!BF$1,'RA5-ROM'!$A$7:$BN$7,1)),0)+IFERROR(INDEX('RA6-CHPP'!$A$8:$BN$8,1,MATCH(Summary!BF$1,'RA6-CHPP'!$A$7:$BN$7,1)),0)+IFERROR(INDEX('RA7-Mine Infrastructure Area'!$A$8:$BN$8,1,MATCH(Summary!BF$1,'RA7-Mine Infrastructure Area'!$A$7:$BN$7,1)),0)+IFERROR(INDEX('RA8-Water Management Structures'!$A$8:$BN$8,1,MATCH(Summary!BF$1,'RA8-Water Management Structures'!$A$7:$BN$7,1)),0)+IFERROR(INDEX('RA9-Codisposal Upper'!$A$8:$BN$8,1,MATCH(Summary!BF$1,'RA9-Codisposal Upper'!$A$7:$BN$7,1)),0)+IFERROR(INDEX('RA10-Codisposal Slopes'!$A$8:$BN$8,1,MATCH(Summary!BF$1,'RA10-Codisposal Slopes'!$A$7:$BN$7,1)),0)+IFERROR(INDEX('IA1-Final Void inc Ramps'!$A$8:$BN$8,1,MATCH(Summary!BF$1,'IA1-Final Void inc Ramps'!$A$7:$BN$7,1)),0)</f>
        <v>2072.7509999999997</v>
      </c>
      <c r="BG12" s="51">
        <f>IFERROR(INDEX('RA1- Elevated Dumps Upper'!$A$8:$BN$8,1,MATCH(Summary!BG$1,'RA1- Elevated Dumps Upper'!$A$7:$BN$7,1)),0)+IFERROR(INDEX('RA2-Elevated Dumps Slopes'!$A$8:$BN$8,1,MATCH(Summary!BG$1,'RA2-Elevated Dumps Slopes'!$A$7:$BN$7,1)),0)+IFERROR(INDEX('RA3-Backfilled Pits'!$A$8:$BN$8,1,MATCH(Summary!BG$1,'RA3-Backfilled Pits'!$A$7:$BN$7,1)),0)+IFERROR(INDEX('RA4-Tracks_Roads'!$A$8:$BN$8,1,MATCH(Summary!BG$1,'RA4-Tracks_Roads'!$A$7:$BN$7,1)),0)+IFERROR(INDEX('RA5-ROM'!$A$8:$BN$8,1,MATCH(Summary!BG$1,'RA5-ROM'!$A$7:$BN$7,1)),0)+IFERROR(INDEX('RA6-CHPP'!$A$8:$BN$8,1,MATCH(Summary!BG$1,'RA6-CHPP'!$A$7:$BN$7,1)),0)+IFERROR(INDEX('RA7-Mine Infrastructure Area'!$A$8:$BN$8,1,MATCH(Summary!BG$1,'RA7-Mine Infrastructure Area'!$A$7:$BN$7,1)),0)+IFERROR(INDEX('RA8-Water Management Structures'!$A$8:$BN$8,1,MATCH(Summary!BG$1,'RA8-Water Management Structures'!$A$7:$BN$7,1)),0)+IFERROR(INDEX('RA9-Codisposal Upper'!$A$8:$BN$8,1,MATCH(Summary!BG$1,'RA9-Codisposal Upper'!$A$7:$BN$7,1)),0)+IFERROR(INDEX('RA10-Codisposal Slopes'!$A$8:$BN$8,1,MATCH(Summary!BG$1,'RA10-Codisposal Slopes'!$A$7:$BN$7,1)),0)+IFERROR(INDEX('IA1-Final Void inc Ramps'!$A$8:$BN$8,1,MATCH(Summary!BG$1,'IA1-Final Void inc Ramps'!$A$7:$BN$7,1)),0)</f>
        <v>2072.7509999999997</v>
      </c>
      <c r="BH12" s="51">
        <f>IFERROR(INDEX('RA1- Elevated Dumps Upper'!$A$8:$BN$8,1,MATCH(Summary!BH$1,'RA1- Elevated Dumps Upper'!$A$7:$BN$7,1)),0)+IFERROR(INDEX('RA2-Elevated Dumps Slopes'!$A$8:$BN$8,1,MATCH(Summary!BH$1,'RA2-Elevated Dumps Slopes'!$A$7:$BN$7,1)),0)+IFERROR(INDEX('RA3-Backfilled Pits'!$A$8:$BN$8,1,MATCH(Summary!BH$1,'RA3-Backfilled Pits'!$A$7:$BN$7,1)),0)+IFERROR(INDEX('RA4-Tracks_Roads'!$A$8:$BN$8,1,MATCH(Summary!BH$1,'RA4-Tracks_Roads'!$A$7:$BN$7,1)),0)+IFERROR(INDEX('RA5-ROM'!$A$8:$BN$8,1,MATCH(Summary!BH$1,'RA5-ROM'!$A$7:$BN$7,1)),0)+IFERROR(INDEX('RA6-CHPP'!$A$8:$BN$8,1,MATCH(Summary!BH$1,'RA6-CHPP'!$A$7:$BN$7,1)),0)+IFERROR(INDEX('RA7-Mine Infrastructure Area'!$A$8:$BN$8,1,MATCH(Summary!BH$1,'RA7-Mine Infrastructure Area'!$A$7:$BN$7,1)),0)+IFERROR(INDEX('RA8-Water Management Structures'!$A$8:$BN$8,1,MATCH(Summary!BH$1,'RA8-Water Management Structures'!$A$7:$BN$7,1)),0)+IFERROR(INDEX('RA9-Codisposal Upper'!$A$8:$BN$8,1,MATCH(Summary!BH$1,'RA9-Codisposal Upper'!$A$7:$BN$7,1)),0)+IFERROR(INDEX('RA10-Codisposal Slopes'!$A$8:$BN$8,1,MATCH(Summary!BH$1,'RA10-Codisposal Slopes'!$A$7:$BN$7,1)),0)+IFERROR(INDEX('IA1-Final Void inc Ramps'!$A$8:$BN$8,1,MATCH(Summary!BH$1,'IA1-Final Void inc Ramps'!$A$7:$BN$7,1)),0)</f>
        <v>2072.7509999999997</v>
      </c>
      <c r="BI12" s="51">
        <f>IFERROR(INDEX('RA1- Elevated Dumps Upper'!$A$8:$BN$8,1,MATCH(Summary!BI$1,'RA1- Elevated Dumps Upper'!$A$7:$BN$7,1)),0)+IFERROR(INDEX('RA2-Elevated Dumps Slopes'!$A$8:$BN$8,1,MATCH(Summary!BI$1,'RA2-Elevated Dumps Slopes'!$A$7:$BN$7,1)),0)+IFERROR(INDEX('RA3-Backfilled Pits'!$A$8:$BN$8,1,MATCH(Summary!BI$1,'RA3-Backfilled Pits'!$A$7:$BN$7,1)),0)+IFERROR(INDEX('RA4-Tracks_Roads'!$A$8:$BN$8,1,MATCH(Summary!BI$1,'RA4-Tracks_Roads'!$A$7:$BN$7,1)),0)+IFERROR(INDEX('RA5-ROM'!$A$8:$BN$8,1,MATCH(Summary!BI$1,'RA5-ROM'!$A$7:$BN$7,1)),0)+IFERROR(INDEX('RA6-CHPP'!$A$8:$BN$8,1,MATCH(Summary!BI$1,'RA6-CHPP'!$A$7:$BN$7,1)),0)+IFERROR(INDEX('RA7-Mine Infrastructure Area'!$A$8:$BN$8,1,MATCH(Summary!BI$1,'RA7-Mine Infrastructure Area'!$A$7:$BN$7,1)),0)+IFERROR(INDEX('RA8-Water Management Structures'!$A$8:$BN$8,1,MATCH(Summary!BI$1,'RA8-Water Management Structures'!$A$7:$BN$7,1)),0)+IFERROR(INDEX('RA9-Codisposal Upper'!$A$8:$BN$8,1,MATCH(Summary!BI$1,'RA9-Codisposal Upper'!$A$7:$BN$7,1)),0)+IFERROR(INDEX('RA10-Codisposal Slopes'!$A$8:$BN$8,1,MATCH(Summary!BI$1,'RA10-Codisposal Slopes'!$A$7:$BN$7,1)),0)+IFERROR(INDEX('IA1-Final Void inc Ramps'!$A$8:$BN$8,1,MATCH(Summary!BI$1,'IA1-Final Void inc Ramps'!$A$7:$BN$7,1)),0)</f>
        <v>2072.7509999999997</v>
      </c>
      <c r="BJ12" s="51">
        <f>IFERROR(INDEX('RA1- Elevated Dumps Upper'!$A$8:$BN$8,1,MATCH(Summary!BJ$1,'RA1- Elevated Dumps Upper'!$A$7:$BN$7,1)),0)+IFERROR(INDEX('RA2-Elevated Dumps Slopes'!$A$8:$BN$8,1,MATCH(Summary!BJ$1,'RA2-Elevated Dumps Slopes'!$A$7:$BN$7,1)),0)+IFERROR(INDEX('RA3-Backfilled Pits'!$A$8:$BN$8,1,MATCH(Summary!BJ$1,'RA3-Backfilled Pits'!$A$7:$BN$7,1)),0)+IFERROR(INDEX('RA4-Tracks_Roads'!$A$8:$BN$8,1,MATCH(Summary!BJ$1,'RA4-Tracks_Roads'!$A$7:$BN$7,1)),0)+IFERROR(INDEX('RA5-ROM'!$A$8:$BN$8,1,MATCH(Summary!BJ$1,'RA5-ROM'!$A$7:$BN$7,1)),0)+IFERROR(INDEX('RA6-CHPP'!$A$8:$BN$8,1,MATCH(Summary!BJ$1,'RA6-CHPP'!$A$7:$BN$7,1)),0)+IFERROR(INDEX('RA7-Mine Infrastructure Area'!$A$8:$BN$8,1,MATCH(Summary!BJ$1,'RA7-Mine Infrastructure Area'!$A$7:$BN$7,1)),0)+IFERROR(INDEX('RA8-Water Management Structures'!$A$8:$BN$8,1,MATCH(Summary!BJ$1,'RA8-Water Management Structures'!$A$7:$BN$7,1)),0)+IFERROR(INDEX('RA9-Codisposal Upper'!$A$8:$BN$8,1,MATCH(Summary!BJ$1,'RA9-Codisposal Upper'!$A$7:$BN$7,1)),0)+IFERROR(INDEX('RA10-Codisposal Slopes'!$A$8:$BN$8,1,MATCH(Summary!BJ$1,'RA10-Codisposal Slopes'!$A$7:$BN$7,1)),0)+IFERROR(INDEX('IA1-Final Void inc Ramps'!$A$8:$BN$8,1,MATCH(Summary!BJ$1,'IA1-Final Void inc Ramps'!$A$7:$BN$7,1)),0)</f>
        <v>2072.7509999999997</v>
      </c>
      <c r="BK12" s="51">
        <f>IFERROR(INDEX('RA1- Elevated Dumps Upper'!$A$8:$BN$8,1,MATCH(Summary!BK$1,'RA1- Elevated Dumps Upper'!$A$7:$BN$7,1)),0)+IFERROR(INDEX('RA2-Elevated Dumps Slopes'!$A$8:$BN$8,1,MATCH(Summary!BK$1,'RA2-Elevated Dumps Slopes'!$A$7:$BN$7,1)),0)+IFERROR(INDEX('RA3-Backfilled Pits'!$A$8:$BN$8,1,MATCH(Summary!BK$1,'RA3-Backfilled Pits'!$A$7:$BN$7,1)),0)+IFERROR(INDEX('RA4-Tracks_Roads'!$A$8:$BN$8,1,MATCH(Summary!BK$1,'RA4-Tracks_Roads'!$A$7:$BN$7,1)),0)+IFERROR(INDEX('RA5-ROM'!$A$8:$BN$8,1,MATCH(Summary!BK$1,'RA5-ROM'!$A$7:$BN$7,1)),0)+IFERROR(INDEX('RA6-CHPP'!$A$8:$BN$8,1,MATCH(Summary!BK$1,'RA6-CHPP'!$A$7:$BN$7,1)),0)+IFERROR(INDEX('RA7-Mine Infrastructure Area'!$A$8:$BN$8,1,MATCH(Summary!BK$1,'RA7-Mine Infrastructure Area'!$A$7:$BN$7,1)),0)+IFERROR(INDEX('RA8-Water Management Structures'!$A$8:$BN$8,1,MATCH(Summary!BK$1,'RA8-Water Management Structures'!$A$7:$BN$7,1)),0)+IFERROR(INDEX('RA9-Codisposal Upper'!$A$8:$BN$8,1,MATCH(Summary!BK$1,'RA9-Codisposal Upper'!$A$7:$BN$7,1)),0)+IFERROR(INDEX('RA10-Codisposal Slopes'!$A$8:$BN$8,1,MATCH(Summary!BK$1,'RA10-Codisposal Slopes'!$A$7:$BN$7,1)),0)+IFERROR(INDEX('IA1-Final Void inc Ramps'!$A$8:$BN$8,1,MATCH(Summary!BK$1,'IA1-Final Void inc Ramps'!$A$7:$BN$7,1)),0)</f>
        <v>2072.7509999999997</v>
      </c>
      <c r="BL12" s="51">
        <f>IFERROR(INDEX('RA1- Elevated Dumps Upper'!$A$8:$BN$8,1,MATCH(Summary!BL$1,'RA1- Elevated Dumps Upper'!$A$7:$BN$7,1)),0)+IFERROR(INDEX('RA2-Elevated Dumps Slopes'!$A$8:$BN$8,1,MATCH(Summary!BL$1,'RA2-Elevated Dumps Slopes'!$A$7:$BN$7,1)),0)+IFERROR(INDEX('RA3-Backfilled Pits'!$A$8:$BN$8,1,MATCH(Summary!BL$1,'RA3-Backfilled Pits'!$A$7:$BN$7,1)),0)+IFERROR(INDEX('RA4-Tracks_Roads'!$A$8:$BN$8,1,MATCH(Summary!BL$1,'RA4-Tracks_Roads'!$A$7:$BN$7,1)),0)+IFERROR(INDEX('RA5-ROM'!$A$8:$BN$8,1,MATCH(Summary!BL$1,'RA5-ROM'!$A$7:$BN$7,1)),0)+IFERROR(INDEX('RA6-CHPP'!$A$8:$BN$8,1,MATCH(Summary!BL$1,'RA6-CHPP'!$A$7:$BN$7,1)),0)+IFERROR(INDEX('RA7-Mine Infrastructure Area'!$A$8:$BN$8,1,MATCH(Summary!BL$1,'RA7-Mine Infrastructure Area'!$A$7:$BN$7,1)),0)+IFERROR(INDEX('RA8-Water Management Structures'!$A$8:$BN$8,1,MATCH(Summary!BL$1,'RA8-Water Management Structures'!$A$7:$BN$7,1)),0)+IFERROR(INDEX('RA9-Codisposal Upper'!$A$8:$BN$8,1,MATCH(Summary!BL$1,'RA9-Codisposal Upper'!$A$7:$BN$7,1)),0)+IFERROR(INDEX('RA10-Codisposal Slopes'!$A$8:$BN$8,1,MATCH(Summary!BL$1,'RA10-Codisposal Slopes'!$A$7:$BN$7,1)),0)+IFERROR(INDEX('IA1-Final Void inc Ramps'!$A$8:$BN$8,1,MATCH(Summary!BL$1,'IA1-Final Void inc Ramps'!$A$7:$BN$7,1)),0)</f>
        <v>2072.7509999999997</v>
      </c>
      <c r="BM12" s="51">
        <f>IFERROR(INDEX('RA1- Elevated Dumps Upper'!$A$8:$BN$8,1,MATCH(Summary!BM$1,'RA1- Elevated Dumps Upper'!$A$7:$BN$7,1)),0)+IFERROR(INDEX('RA2-Elevated Dumps Slopes'!$A$8:$BN$8,1,MATCH(Summary!BM$1,'RA2-Elevated Dumps Slopes'!$A$7:$BN$7,1)),0)+IFERROR(INDEX('RA3-Backfilled Pits'!$A$8:$BN$8,1,MATCH(Summary!BM$1,'RA3-Backfilled Pits'!$A$7:$BN$7,1)),0)+IFERROR(INDEX('RA4-Tracks_Roads'!$A$8:$BN$8,1,MATCH(Summary!BM$1,'RA4-Tracks_Roads'!$A$7:$BN$7,1)),0)+IFERROR(INDEX('RA5-ROM'!$A$8:$BN$8,1,MATCH(Summary!BM$1,'RA5-ROM'!$A$7:$BN$7,1)),0)+IFERROR(INDEX('RA6-CHPP'!$A$8:$BN$8,1,MATCH(Summary!BM$1,'RA6-CHPP'!$A$7:$BN$7,1)),0)+IFERROR(INDEX('RA7-Mine Infrastructure Area'!$A$8:$BN$8,1,MATCH(Summary!BM$1,'RA7-Mine Infrastructure Area'!$A$7:$BN$7,1)),0)+IFERROR(INDEX('RA8-Water Management Structures'!$A$8:$BN$8,1,MATCH(Summary!BM$1,'RA8-Water Management Structures'!$A$7:$BN$7,1)),0)+IFERROR(INDEX('RA9-Codisposal Upper'!$A$8:$BN$8,1,MATCH(Summary!BM$1,'RA9-Codisposal Upper'!$A$7:$BN$7,1)),0)+IFERROR(INDEX('RA10-Codisposal Slopes'!$A$8:$BN$8,1,MATCH(Summary!BM$1,'RA10-Codisposal Slopes'!$A$7:$BN$7,1)),0)+IFERROR(INDEX('IA1-Final Void inc Ramps'!$A$8:$BN$8,1,MATCH(Summary!BM$1,'IA1-Final Void inc Ramps'!$A$7:$BN$7,1)),0)</f>
        <v>2072.7509999999997</v>
      </c>
      <c r="BN12" s="51">
        <f>IFERROR(INDEX('RA1- Elevated Dumps Upper'!$A$8:$BN$8,1,MATCH(Summary!BN$1,'RA1- Elevated Dumps Upper'!$A$7:$BN$7,1)),0)+IFERROR(INDEX('RA2-Elevated Dumps Slopes'!$A$8:$BN$8,1,MATCH(Summary!BN$1,'RA2-Elevated Dumps Slopes'!$A$7:$BN$7,1)),0)+IFERROR(INDEX('RA3-Backfilled Pits'!$A$8:$BN$8,1,MATCH(Summary!BN$1,'RA3-Backfilled Pits'!$A$7:$BN$7,1)),0)+IFERROR(INDEX('RA4-Tracks_Roads'!$A$8:$BN$8,1,MATCH(Summary!BN$1,'RA4-Tracks_Roads'!$A$7:$BN$7,1)),0)+IFERROR(INDEX('RA5-ROM'!$A$8:$BN$8,1,MATCH(Summary!BN$1,'RA5-ROM'!$A$7:$BN$7,1)),0)+IFERROR(INDEX('RA6-CHPP'!$A$8:$BN$8,1,MATCH(Summary!BN$1,'RA6-CHPP'!$A$7:$BN$7,1)),0)+IFERROR(INDEX('RA7-Mine Infrastructure Area'!$A$8:$BN$8,1,MATCH(Summary!BN$1,'RA7-Mine Infrastructure Area'!$A$7:$BN$7,1)),0)+IFERROR(INDEX('RA8-Water Management Structures'!$A$8:$BN$8,1,MATCH(Summary!BN$1,'RA8-Water Management Structures'!$A$7:$BN$7,1)),0)+IFERROR(INDEX('RA9-Codisposal Upper'!$A$8:$BN$8,1,MATCH(Summary!BN$1,'RA9-Codisposal Upper'!$A$7:$BN$7,1)),0)+IFERROR(INDEX('RA10-Codisposal Slopes'!$A$8:$BN$8,1,MATCH(Summary!BN$1,'RA10-Codisposal Slopes'!$A$7:$BN$7,1)),0)+IFERROR(INDEX('IA1-Final Void inc Ramps'!$A$8:$BN$8,1,MATCH(Summary!BN$1,'IA1-Final Void inc Ramps'!$A$7:$BN$7,1)),0)</f>
        <v>2072.7509999999997</v>
      </c>
    </row>
    <row r="13" spans="1:66" x14ac:dyDescent="0.35">
      <c r="B13" t="s">
        <v>6</v>
      </c>
      <c r="D13" s="51">
        <f>IFERROR(VLOOKUP($B13,'RA1- Elevated Dumps Upper'!$A$11:$BN$18,MATCH(Summary!D$1,'RA1- Elevated Dumps Upper'!$A$9:$BN$9,1),FALSE),0)+IFERROR(VLOOKUP($B13,'RA2-Elevated Dumps Slopes'!$A$11:$BN$18,MATCH(Summary!D$1,'RA2-Elevated Dumps Slopes'!$A$9:$BN$9,1),FALSE),0)+IFERROR(VLOOKUP($B13,'RA3-Backfilled Pits'!$A$11:$BN$18,MATCH(Summary!D$1,'RA3-Backfilled Pits'!$A$9:$BN$9,1),FALSE),0)+IFERROR(VLOOKUP($B13,'RA4-Tracks_Roads'!$A$11:$BN$18,MATCH(Summary!D$1,'RA4-Tracks_Roads'!$A$9:$BN$9,1),FALSE),0)+IFERROR(VLOOKUP($B13,'RA5-ROM'!$A$11:$BN$18,MATCH(Summary!D$1,'RA5-ROM'!$A$9:$BN$9,1),FALSE),0)+IFERROR(VLOOKUP($B13,'RA6-CHPP'!$A$11:$BN$18,MATCH(Summary!D$1,'RA6-CHPP'!$A$9:$BN$9,1),FALSE),0)+IFERROR(VLOOKUP($B13,'RA7-Mine Infrastructure Area'!$A$11:$BN$18,MATCH(Summary!D$1,'RA7-Mine Infrastructure Area'!$A$9:$BN$9,1),FALSE),0)+IFERROR(VLOOKUP($B13,'RA8-Water Management Structures'!$A$11:$BN$18,MATCH(Summary!D$1,'RA8-Water Management Structures'!$A$9:$BN$9,1),FALSE),0)+IFERROR(VLOOKUP($B13,'RA9-Codisposal Upper'!$A$11:$BN$18,MATCH(Summary!D$1,'RA9-Codisposal Upper'!$A$9:$BN$9,1),FALSE),0)+IFERROR(VLOOKUP($B13,'RA10-Codisposal Slopes'!$A$11:$BN$18,MATCH(Summary!D$1,'RA10-Codisposal Slopes'!$A$9:$BN$9,1),FALSE),0)+IFERROR(VLOOKUP($B13,'IA1-Final Void inc Ramps'!$A$11:$BN$18,MATCH(Summary!D$1,'IA1-Final Void inc Ramps'!$A$9:$BN$9,1),FALSE),0)</f>
        <v>0</v>
      </c>
      <c r="E13" s="51">
        <f>IFERROR(VLOOKUP($B13,'RA1- Elevated Dumps Upper'!$A$11:$BN$18,MATCH(Summary!E$1,'RA1- Elevated Dumps Upper'!$A$9:$BN$9,1),FALSE),0)+IFERROR(VLOOKUP($B13,'RA2-Elevated Dumps Slopes'!$A$11:$BN$18,MATCH(Summary!E$1,'RA2-Elevated Dumps Slopes'!$A$9:$BN$9,1),FALSE),0)+IFERROR(VLOOKUP($B13,'RA3-Backfilled Pits'!$A$11:$BN$18,MATCH(Summary!E$1,'RA3-Backfilled Pits'!$A$9:$BN$9,1),FALSE),0)+IFERROR(VLOOKUP($B13,'RA4-Tracks_Roads'!$A$11:$BN$18,MATCH(Summary!E$1,'RA4-Tracks_Roads'!$A$9:$BN$9,1),FALSE),0)+IFERROR(VLOOKUP($B13,'RA5-ROM'!$A$11:$BN$18,MATCH(Summary!E$1,'RA5-ROM'!$A$9:$BN$9,1),FALSE),0)+IFERROR(VLOOKUP($B13,'RA6-CHPP'!$A$11:$BN$18,MATCH(Summary!E$1,'RA6-CHPP'!$A$9:$BN$9,1),FALSE),0)+IFERROR(VLOOKUP($B13,'RA7-Mine Infrastructure Area'!$A$11:$BN$18,MATCH(Summary!E$1,'RA7-Mine Infrastructure Area'!$A$9:$BN$9,1),FALSE),0)+IFERROR(VLOOKUP($B13,'RA8-Water Management Structures'!$A$11:$BN$18,MATCH(Summary!E$1,'RA8-Water Management Structures'!$A$9:$BN$9,1),FALSE),0)+IFERROR(VLOOKUP($B13,'RA9-Codisposal Upper'!$A$11:$BN$18,MATCH(Summary!E$1,'RA9-Codisposal Upper'!$A$9:$BN$9,1),FALSE),0)+IFERROR(VLOOKUP($B13,'RA10-Codisposal Slopes'!$A$11:$BN$18,MATCH(Summary!E$1,'RA10-Codisposal Slopes'!$A$9:$BN$9,1),FALSE),0)+IFERROR(VLOOKUP($B13,'IA1-Final Void inc Ramps'!$A$11:$BN$18,MATCH(Summary!E$1,'IA1-Final Void inc Ramps'!$A$9:$BN$9,1),FALSE),0)</f>
        <v>0</v>
      </c>
      <c r="F13" s="51">
        <f>IFERROR(VLOOKUP($B13,'RA1- Elevated Dumps Upper'!$A$11:$BN$18,MATCH(Summary!F$1,'RA1- Elevated Dumps Upper'!$A$9:$BN$9,1),FALSE),0)+IFERROR(VLOOKUP($B13,'RA2-Elevated Dumps Slopes'!$A$11:$BN$18,MATCH(Summary!F$1,'RA2-Elevated Dumps Slopes'!$A$9:$BN$9,1),FALSE),0)+IFERROR(VLOOKUP($B13,'RA3-Backfilled Pits'!$A$11:$BN$18,MATCH(Summary!F$1,'RA3-Backfilled Pits'!$A$9:$BN$9,1),FALSE),0)+IFERROR(VLOOKUP($B13,'RA4-Tracks_Roads'!$A$11:$BN$18,MATCH(Summary!F$1,'RA4-Tracks_Roads'!$A$9:$BN$9,1),FALSE),0)+IFERROR(VLOOKUP($B13,'RA5-ROM'!$A$11:$BN$18,MATCH(Summary!F$1,'RA5-ROM'!$A$9:$BN$9,1),FALSE),0)+IFERROR(VLOOKUP($B13,'RA6-CHPP'!$A$11:$BN$18,MATCH(Summary!F$1,'RA6-CHPP'!$A$9:$BN$9,1),FALSE),0)+IFERROR(VLOOKUP($B13,'RA7-Mine Infrastructure Area'!$A$11:$BN$18,MATCH(Summary!F$1,'RA7-Mine Infrastructure Area'!$A$9:$BN$9,1),FALSE),0)+IFERROR(VLOOKUP($B13,'RA8-Water Management Structures'!$A$11:$BN$18,MATCH(Summary!F$1,'RA8-Water Management Structures'!$A$9:$BN$9,1),FALSE),0)+IFERROR(VLOOKUP($B13,'RA9-Codisposal Upper'!$A$11:$BN$18,MATCH(Summary!F$1,'RA9-Codisposal Upper'!$A$9:$BN$9,1),FALSE),0)+IFERROR(VLOOKUP($B13,'RA10-Codisposal Slopes'!$A$11:$BN$18,MATCH(Summary!F$1,'RA10-Codisposal Slopes'!$A$9:$BN$9,1),FALSE),0)+IFERROR(VLOOKUP($B13,'IA1-Final Void inc Ramps'!$A$11:$BN$18,MATCH(Summary!F$1,'IA1-Final Void inc Ramps'!$A$9:$BN$9,1),FALSE),0)</f>
        <v>0</v>
      </c>
      <c r="G13" s="51">
        <f>IFERROR(VLOOKUP($B13,'RA1- Elevated Dumps Upper'!$A$11:$BN$18,MATCH(Summary!G$1,'RA1- Elevated Dumps Upper'!$A$9:$BN$9,1),FALSE),0)+IFERROR(VLOOKUP($B13,'RA2-Elevated Dumps Slopes'!$A$11:$BN$18,MATCH(Summary!G$1,'RA2-Elevated Dumps Slopes'!$A$9:$BN$9,1),FALSE),0)+IFERROR(VLOOKUP($B13,'RA3-Backfilled Pits'!$A$11:$BN$18,MATCH(Summary!G$1,'RA3-Backfilled Pits'!$A$9:$BN$9,1),FALSE),0)+IFERROR(VLOOKUP($B13,'RA4-Tracks_Roads'!$A$11:$BN$18,MATCH(Summary!G$1,'RA4-Tracks_Roads'!$A$9:$BN$9,1),FALSE),0)+IFERROR(VLOOKUP($B13,'RA5-ROM'!$A$11:$BN$18,MATCH(Summary!G$1,'RA5-ROM'!$A$9:$BN$9,1),FALSE),0)+IFERROR(VLOOKUP($B13,'RA6-CHPP'!$A$11:$BN$18,MATCH(Summary!G$1,'RA6-CHPP'!$A$9:$BN$9,1),FALSE),0)+IFERROR(VLOOKUP($B13,'RA7-Mine Infrastructure Area'!$A$11:$BN$18,MATCH(Summary!G$1,'RA7-Mine Infrastructure Area'!$A$9:$BN$9,1),FALSE),0)+IFERROR(VLOOKUP($B13,'RA8-Water Management Structures'!$A$11:$BN$18,MATCH(Summary!G$1,'RA8-Water Management Structures'!$A$9:$BN$9,1),FALSE),0)+IFERROR(VLOOKUP($B13,'RA9-Codisposal Upper'!$A$11:$BN$18,MATCH(Summary!G$1,'RA9-Codisposal Upper'!$A$9:$BN$9,1),FALSE),0)+IFERROR(VLOOKUP($B13,'RA10-Codisposal Slopes'!$A$11:$BN$18,MATCH(Summary!G$1,'RA10-Codisposal Slopes'!$A$9:$BN$9,1),FALSE),0)+IFERROR(VLOOKUP($B13,'IA1-Final Void inc Ramps'!$A$11:$BN$18,MATCH(Summary!G$1,'IA1-Final Void inc Ramps'!$A$9:$BN$9,1),FALSE),0)</f>
        <v>0</v>
      </c>
      <c r="H13" s="51">
        <f>IFERROR(VLOOKUP($B13,'RA1- Elevated Dumps Upper'!$A$11:$BN$18,MATCH(Summary!H$1,'RA1- Elevated Dumps Upper'!$A$9:$BN$9,1),FALSE),0)+IFERROR(VLOOKUP($B13,'RA2-Elevated Dumps Slopes'!$A$11:$BN$18,MATCH(Summary!H$1,'RA2-Elevated Dumps Slopes'!$A$9:$BN$9,1),FALSE),0)+IFERROR(VLOOKUP($B13,'RA3-Backfilled Pits'!$A$11:$BN$18,MATCH(Summary!H$1,'RA3-Backfilled Pits'!$A$9:$BN$9,1),FALSE),0)+IFERROR(VLOOKUP($B13,'RA4-Tracks_Roads'!$A$11:$BN$18,MATCH(Summary!H$1,'RA4-Tracks_Roads'!$A$9:$BN$9,1),FALSE),0)+IFERROR(VLOOKUP($B13,'RA5-ROM'!$A$11:$BN$18,MATCH(Summary!H$1,'RA5-ROM'!$A$9:$BN$9,1),FALSE),0)+IFERROR(VLOOKUP($B13,'RA6-CHPP'!$A$11:$BN$18,MATCH(Summary!H$1,'RA6-CHPP'!$A$9:$BN$9,1),FALSE),0)+IFERROR(VLOOKUP($B13,'RA7-Mine Infrastructure Area'!$A$11:$BN$18,MATCH(Summary!H$1,'RA7-Mine Infrastructure Area'!$A$9:$BN$9,1),FALSE),0)+IFERROR(VLOOKUP($B13,'RA8-Water Management Structures'!$A$11:$BN$18,MATCH(Summary!H$1,'RA8-Water Management Structures'!$A$9:$BN$9,1),FALSE),0)+IFERROR(VLOOKUP($B13,'RA9-Codisposal Upper'!$A$11:$BN$18,MATCH(Summary!H$1,'RA9-Codisposal Upper'!$A$9:$BN$9,1),FALSE),0)+IFERROR(VLOOKUP($B13,'RA10-Codisposal Slopes'!$A$11:$BN$18,MATCH(Summary!H$1,'RA10-Codisposal Slopes'!$A$9:$BN$9,1),FALSE),0)+IFERROR(VLOOKUP($B13,'IA1-Final Void inc Ramps'!$A$11:$BN$18,MATCH(Summary!H$1,'IA1-Final Void inc Ramps'!$A$9:$BN$9,1),FALSE),0)</f>
        <v>0</v>
      </c>
      <c r="I13" s="51">
        <f>IFERROR(VLOOKUP($B13,'RA1- Elevated Dumps Upper'!$A$11:$BN$18,MATCH(Summary!I$1,'RA1- Elevated Dumps Upper'!$A$9:$BN$9,1),FALSE),0)+IFERROR(VLOOKUP($B13,'RA2-Elevated Dumps Slopes'!$A$11:$BN$18,MATCH(Summary!I$1,'RA2-Elevated Dumps Slopes'!$A$9:$BN$9,1),FALSE),0)+IFERROR(VLOOKUP($B13,'RA3-Backfilled Pits'!$A$11:$BN$18,MATCH(Summary!I$1,'RA3-Backfilled Pits'!$A$9:$BN$9,1),FALSE),0)+IFERROR(VLOOKUP($B13,'RA4-Tracks_Roads'!$A$11:$BN$18,MATCH(Summary!I$1,'RA4-Tracks_Roads'!$A$9:$BN$9,1),FALSE),0)+IFERROR(VLOOKUP($B13,'RA5-ROM'!$A$11:$BN$18,MATCH(Summary!I$1,'RA5-ROM'!$A$9:$BN$9,1),FALSE),0)+IFERROR(VLOOKUP($B13,'RA6-CHPP'!$A$11:$BN$18,MATCH(Summary!I$1,'RA6-CHPP'!$A$9:$BN$9,1),FALSE),0)+IFERROR(VLOOKUP($B13,'RA7-Mine Infrastructure Area'!$A$11:$BN$18,MATCH(Summary!I$1,'RA7-Mine Infrastructure Area'!$A$9:$BN$9,1),FALSE),0)+IFERROR(VLOOKUP($B13,'RA8-Water Management Structures'!$A$11:$BN$18,MATCH(Summary!I$1,'RA8-Water Management Structures'!$A$9:$BN$9,1),FALSE),0)+IFERROR(VLOOKUP($B13,'RA9-Codisposal Upper'!$A$11:$BN$18,MATCH(Summary!I$1,'RA9-Codisposal Upper'!$A$9:$BN$9,1),FALSE),0)+IFERROR(VLOOKUP($B13,'RA10-Codisposal Slopes'!$A$11:$BN$18,MATCH(Summary!I$1,'RA10-Codisposal Slopes'!$A$9:$BN$9,1),FALSE),0)+IFERROR(VLOOKUP($B13,'IA1-Final Void inc Ramps'!$A$11:$BN$18,MATCH(Summary!I$1,'IA1-Final Void inc Ramps'!$A$9:$BN$9,1),FALSE),0)</f>
        <v>0</v>
      </c>
      <c r="J13" s="51">
        <f>IFERROR(VLOOKUP($B13,'RA1- Elevated Dumps Upper'!$A$11:$BN$18,MATCH(Summary!J$1,'RA1- Elevated Dumps Upper'!$A$9:$BN$9,1),FALSE),0)+IFERROR(VLOOKUP($B13,'RA2-Elevated Dumps Slopes'!$A$11:$BN$18,MATCH(Summary!J$1,'RA2-Elevated Dumps Slopes'!$A$9:$BN$9,1),FALSE),0)+IFERROR(VLOOKUP($B13,'RA3-Backfilled Pits'!$A$11:$BN$18,MATCH(Summary!J$1,'RA3-Backfilled Pits'!$A$9:$BN$9,1),FALSE),0)+IFERROR(VLOOKUP($B13,'RA4-Tracks_Roads'!$A$11:$BN$18,MATCH(Summary!J$1,'RA4-Tracks_Roads'!$A$9:$BN$9,1),FALSE),0)+IFERROR(VLOOKUP($B13,'RA5-ROM'!$A$11:$BN$18,MATCH(Summary!J$1,'RA5-ROM'!$A$9:$BN$9,1),FALSE),0)+IFERROR(VLOOKUP($B13,'RA6-CHPP'!$A$11:$BN$18,MATCH(Summary!J$1,'RA6-CHPP'!$A$9:$BN$9,1),FALSE),0)+IFERROR(VLOOKUP($B13,'RA7-Mine Infrastructure Area'!$A$11:$BN$18,MATCH(Summary!J$1,'RA7-Mine Infrastructure Area'!$A$9:$BN$9,1),FALSE),0)+IFERROR(VLOOKUP($B13,'RA8-Water Management Structures'!$A$11:$BN$18,MATCH(Summary!J$1,'RA8-Water Management Structures'!$A$9:$BN$9,1),FALSE),0)+IFERROR(VLOOKUP($B13,'RA9-Codisposal Upper'!$A$11:$BN$18,MATCH(Summary!J$1,'RA9-Codisposal Upper'!$A$9:$BN$9,1),FALSE),0)+IFERROR(VLOOKUP($B13,'RA10-Codisposal Slopes'!$A$11:$BN$18,MATCH(Summary!J$1,'RA10-Codisposal Slopes'!$A$9:$BN$9,1),FALSE),0)+IFERROR(VLOOKUP($B13,'IA1-Final Void inc Ramps'!$A$11:$BN$18,MATCH(Summary!J$1,'IA1-Final Void inc Ramps'!$A$9:$BN$9,1),FALSE),0)</f>
        <v>0</v>
      </c>
      <c r="K13" s="51">
        <f>IFERROR(VLOOKUP($B13,'RA1- Elevated Dumps Upper'!$A$11:$BN$18,MATCH(Summary!K$1,'RA1- Elevated Dumps Upper'!$A$9:$BN$9,1),FALSE),0)+IFERROR(VLOOKUP($B13,'RA2-Elevated Dumps Slopes'!$A$11:$BN$18,MATCH(Summary!K$1,'RA2-Elevated Dumps Slopes'!$A$9:$BN$9,1),FALSE),0)+IFERROR(VLOOKUP($B13,'RA3-Backfilled Pits'!$A$11:$BN$18,MATCH(Summary!K$1,'RA3-Backfilled Pits'!$A$9:$BN$9,1),FALSE),0)+IFERROR(VLOOKUP($B13,'RA4-Tracks_Roads'!$A$11:$BN$18,MATCH(Summary!K$1,'RA4-Tracks_Roads'!$A$9:$BN$9,1),FALSE),0)+IFERROR(VLOOKUP($B13,'RA5-ROM'!$A$11:$BN$18,MATCH(Summary!K$1,'RA5-ROM'!$A$9:$BN$9,1),FALSE),0)+IFERROR(VLOOKUP($B13,'RA6-CHPP'!$A$11:$BN$18,MATCH(Summary!K$1,'RA6-CHPP'!$A$9:$BN$9,1),FALSE),0)+IFERROR(VLOOKUP($B13,'RA7-Mine Infrastructure Area'!$A$11:$BN$18,MATCH(Summary!K$1,'RA7-Mine Infrastructure Area'!$A$9:$BN$9,1),FALSE),0)+IFERROR(VLOOKUP($B13,'RA8-Water Management Structures'!$A$11:$BN$18,MATCH(Summary!K$1,'RA8-Water Management Structures'!$A$9:$BN$9,1),FALSE),0)+IFERROR(VLOOKUP($B13,'RA9-Codisposal Upper'!$A$11:$BN$18,MATCH(Summary!K$1,'RA9-Codisposal Upper'!$A$9:$BN$9,1),FALSE),0)+IFERROR(VLOOKUP($B13,'RA10-Codisposal Slopes'!$A$11:$BN$18,MATCH(Summary!K$1,'RA10-Codisposal Slopes'!$A$9:$BN$9,1),FALSE),0)+IFERROR(VLOOKUP($B13,'IA1-Final Void inc Ramps'!$A$11:$BN$18,MATCH(Summary!K$1,'IA1-Final Void inc Ramps'!$A$9:$BN$9,1),FALSE),0)</f>
        <v>0</v>
      </c>
      <c r="L13" s="51">
        <f>IFERROR(VLOOKUP($B13,'RA1- Elevated Dumps Upper'!$A$11:$BN$18,MATCH(Summary!L$1,'RA1- Elevated Dumps Upper'!$A$9:$BN$9,1),FALSE),0)+IFERROR(VLOOKUP($B13,'RA2-Elevated Dumps Slopes'!$A$11:$BN$18,MATCH(Summary!L$1,'RA2-Elevated Dumps Slopes'!$A$9:$BN$9,1),FALSE),0)+IFERROR(VLOOKUP($B13,'RA3-Backfilled Pits'!$A$11:$BN$18,MATCH(Summary!L$1,'RA3-Backfilled Pits'!$A$9:$BN$9,1),FALSE),0)+IFERROR(VLOOKUP($B13,'RA4-Tracks_Roads'!$A$11:$BN$18,MATCH(Summary!L$1,'RA4-Tracks_Roads'!$A$9:$BN$9,1),FALSE),0)+IFERROR(VLOOKUP($B13,'RA5-ROM'!$A$11:$BN$18,MATCH(Summary!L$1,'RA5-ROM'!$A$9:$BN$9,1),FALSE),0)+IFERROR(VLOOKUP($B13,'RA6-CHPP'!$A$11:$BN$18,MATCH(Summary!L$1,'RA6-CHPP'!$A$9:$BN$9,1),FALSE),0)+IFERROR(VLOOKUP($B13,'RA7-Mine Infrastructure Area'!$A$11:$BN$18,MATCH(Summary!L$1,'RA7-Mine Infrastructure Area'!$A$9:$BN$9,1),FALSE),0)+IFERROR(VLOOKUP($B13,'RA8-Water Management Structures'!$A$11:$BN$18,MATCH(Summary!L$1,'RA8-Water Management Structures'!$A$9:$BN$9,1),FALSE),0)+IFERROR(VLOOKUP($B13,'RA9-Codisposal Upper'!$A$11:$BN$18,MATCH(Summary!L$1,'RA9-Codisposal Upper'!$A$9:$BN$9,1),FALSE),0)+IFERROR(VLOOKUP($B13,'RA10-Codisposal Slopes'!$A$11:$BN$18,MATCH(Summary!L$1,'RA10-Codisposal Slopes'!$A$9:$BN$9,1),FALSE),0)+IFERROR(VLOOKUP($B13,'IA1-Final Void inc Ramps'!$A$11:$BN$18,MATCH(Summary!L$1,'IA1-Final Void inc Ramps'!$A$9:$BN$9,1),FALSE),0)</f>
        <v>0</v>
      </c>
      <c r="M13" s="51">
        <f>IFERROR(VLOOKUP($B13,'RA1- Elevated Dumps Upper'!$A$11:$BN$18,MATCH(Summary!M$1,'RA1- Elevated Dumps Upper'!$A$9:$BN$9,1),FALSE),0)+IFERROR(VLOOKUP($B13,'RA2-Elevated Dumps Slopes'!$A$11:$BN$18,MATCH(Summary!M$1,'RA2-Elevated Dumps Slopes'!$A$9:$BN$9,1),FALSE),0)+IFERROR(VLOOKUP($B13,'RA3-Backfilled Pits'!$A$11:$BN$18,MATCH(Summary!M$1,'RA3-Backfilled Pits'!$A$9:$BN$9,1),FALSE),0)+IFERROR(VLOOKUP($B13,'RA4-Tracks_Roads'!$A$11:$BN$18,MATCH(Summary!M$1,'RA4-Tracks_Roads'!$A$9:$BN$9,1),FALSE),0)+IFERROR(VLOOKUP($B13,'RA5-ROM'!$A$11:$BN$18,MATCH(Summary!M$1,'RA5-ROM'!$A$9:$BN$9,1),FALSE),0)+IFERROR(VLOOKUP($B13,'RA6-CHPP'!$A$11:$BN$18,MATCH(Summary!M$1,'RA6-CHPP'!$A$9:$BN$9,1),FALSE),0)+IFERROR(VLOOKUP($B13,'RA7-Mine Infrastructure Area'!$A$11:$BN$18,MATCH(Summary!M$1,'RA7-Mine Infrastructure Area'!$A$9:$BN$9,1),FALSE),0)+IFERROR(VLOOKUP($B13,'RA8-Water Management Structures'!$A$11:$BN$18,MATCH(Summary!M$1,'RA8-Water Management Structures'!$A$9:$BN$9,1),FALSE),0)+IFERROR(VLOOKUP($B13,'RA9-Codisposal Upper'!$A$11:$BN$18,MATCH(Summary!M$1,'RA9-Codisposal Upper'!$A$9:$BN$9,1),FALSE),0)+IFERROR(VLOOKUP($B13,'RA10-Codisposal Slopes'!$A$11:$BN$18,MATCH(Summary!M$1,'RA10-Codisposal Slopes'!$A$9:$BN$9,1),FALSE),0)+IFERROR(VLOOKUP($B13,'IA1-Final Void inc Ramps'!$A$11:$BN$18,MATCH(Summary!M$1,'IA1-Final Void inc Ramps'!$A$9:$BN$9,1),FALSE),0)</f>
        <v>0</v>
      </c>
      <c r="N13" s="51">
        <f>IFERROR(VLOOKUP($B13,'RA1- Elevated Dumps Upper'!$A$11:$BN$18,MATCH(Summary!N$1,'RA1- Elevated Dumps Upper'!$A$9:$BN$9,1),FALSE),0)+IFERROR(VLOOKUP($B13,'RA2-Elevated Dumps Slopes'!$A$11:$BN$18,MATCH(Summary!N$1,'RA2-Elevated Dumps Slopes'!$A$9:$BN$9,1),FALSE),0)+IFERROR(VLOOKUP($B13,'RA3-Backfilled Pits'!$A$11:$BN$18,MATCH(Summary!N$1,'RA3-Backfilled Pits'!$A$9:$BN$9,1),FALSE),0)+IFERROR(VLOOKUP($B13,'RA4-Tracks_Roads'!$A$11:$BN$18,MATCH(Summary!N$1,'RA4-Tracks_Roads'!$A$9:$BN$9,1),FALSE),0)+IFERROR(VLOOKUP($B13,'RA5-ROM'!$A$11:$BN$18,MATCH(Summary!N$1,'RA5-ROM'!$A$9:$BN$9,1),FALSE),0)+IFERROR(VLOOKUP($B13,'RA6-CHPP'!$A$11:$BN$18,MATCH(Summary!N$1,'RA6-CHPP'!$A$9:$BN$9,1),FALSE),0)+IFERROR(VLOOKUP($B13,'RA7-Mine Infrastructure Area'!$A$11:$BN$18,MATCH(Summary!N$1,'RA7-Mine Infrastructure Area'!$A$9:$BN$9,1),FALSE),0)+IFERROR(VLOOKUP($B13,'RA8-Water Management Structures'!$A$11:$BN$18,MATCH(Summary!N$1,'RA8-Water Management Structures'!$A$9:$BN$9,1),FALSE),0)+IFERROR(VLOOKUP($B13,'RA9-Codisposal Upper'!$A$11:$BN$18,MATCH(Summary!N$1,'RA9-Codisposal Upper'!$A$9:$BN$9,1),FALSE),0)+IFERROR(VLOOKUP($B13,'RA10-Codisposal Slopes'!$A$11:$BN$18,MATCH(Summary!N$1,'RA10-Codisposal Slopes'!$A$9:$BN$9,1),FALSE),0)+IFERROR(VLOOKUP($B13,'IA1-Final Void inc Ramps'!$A$11:$BN$18,MATCH(Summary!N$1,'IA1-Final Void inc Ramps'!$A$9:$BN$9,1),FALSE),0)</f>
        <v>0</v>
      </c>
      <c r="O13" s="51">
        <f>IFERROR(VLOOKUP($B13,'RA1- Elevated Dumps Upper'!$A$11:$BN$18,MATCH(Summary!O$1,'RA1- Elevated Dumps Upper'!$A$9:$BN$9,1),FALSE),0)+IFERROR(VLOOKUP($B13,'RA2-Elevated Dumps Slopes'!$A$11:$BN$18,MATCH(Summary!O$1,'RA2-Elevated Dumps Slopes'!$A$9:$BN$9,1),FALSE),0)+IFERROR(VLOOKUP($B13,'RA3-Backfilled Pits'!$A$11:$BN$18,MATCH(Summary!O$1,'RA3-Backfilled Pits'!$A$9:$BN$9,1),FALSE),0)+IFERROR(VLOOKUP($B13,'RA4-Tracks_Roads'!$A$11:$BN$18,MATCH(Summary!O$1,'RA4-Tracks_Roads'!$A$9:$BN$9,1),FALSE),0)+IFERROR(VLOOKUP($B13,'RA5-ROM'!$A$11:$BN$18,MATCH(Summary!O$1,'RA5-ROM'!$A$9:$BN$9,1),FALSE),0)+IFERROR(VLOOKUP($B13,'RA6-CHPP'!$A$11:$BN$18,MATCH(Summary!O$1,'RA6-CHPP'!$A$9:$BN$9,1),FALSE),0)+IFERROR(VLOOKUP($B13,'RA7-Mine Infrastructure Area'!$A$11:$BN$18,MATCH(Summary!O$1,'RA7-Mine Infrastructure Area'!$A$9:$BN$9,1),FALSE),0)+IFERROR(VLOOKUP($B13,'RA8-Water Management Structures'!$A$11:$BN$18,MATCH(Summary!O$1,'RA8-Water Management Structures'!$A$9:$BN$9,1),FALSE),0)+IFERROR(VLOOKUP($B13,'RA9-Codisposal Upper'!$A$11:$BN$18,MATCH(Summary!O$1,'RA9-Codisposal Upper'!$A$9:$BN$9,1),FALSE),0)+IFERROR(VLOOKUP($B13,'RA10-Codisposal Slopes'!$A$11:$BN$18,MATCH(Summary!O$1,'RA10-Codisposal Slopes'!$A$9:$BN$9,1),FALSE),0)+IFERROR(VLOOKUP($B13,'IA1-Final Void inc Ramps'!$A$11:$BN$18,MATCH(Summary!O$1,'IA1-Final Void inc Ramps'!$A$9:$BN$9,1),FALSE),0)</f>
        <v>0</v>
      </c>
      <c r="P13" s="51">
        <f>IFERROR(VLOOKUP($B13,'RA1- Elevated Dumps Upper'!$A$11:$BN$18,MATCH(Summary!P$1,'RA1- Elevated Dumps Upper'!$A$9:$BN$9,1),FALSE),0)+IFERROR(VLOOKUP($B13,'RA2-Elevated Dumps Slopes'!$A$11:$BN$18,MATCH(Summary!P$1,'RA2-Elevated Dumps Slopes'!$A$9:$BN$9,1),FALSE),0)+IFERROR(VLOOKUP($B13,'RA3-Backfilled Pits'!$A$11:$BN$18,MATCH(Summary!P$1,'RA3-Backfilled Pits'!$A$9:$BN$9,1),FALSE),0)+IFERROR(VLOOKUP($B13,'RA4-Tracks_Roads'!$A$11:$BN$18,MATCH(Summary!P$1,'RA4-Tracks_Roads'!$A$9:$BN$9,1),FALSE),0)+IFERROR(VLOOKUP($B13,'RA5-ROM'!$A$11:$BN$18,MATCH(Summary!P$1,'RA5-ROM'!$A$9:$BN$9,1),FALSE),0)+IFERROR(VLOOKUP($B13,'RA6-CHPP'!$A$11:$BN$18,MATCH(Summary!P$1,'RA6-CHPP'!$A$9:$BN$9,1),FALSE),0)+IFERROR(VLOOKUP($B13,'RA7-Mine Infrastructure Area'!$A$11:$BN$18,MATCH(Summary!P$1,'RA7-Mine Infrastructure Area'!$A$9:$BN$9,1),FALSE),0)+IFERROR(VLOOKUP($B13,'RA8-Water Management Structures'!$A$11:$BN$18,MATCH(Summary!P$1,'RA8-Water Management Structures'!$A$9:$BN$9,1),FALSE),0)+IFERROR(VLOOKUP($B13,'RA9-Codisposal Upper'!$A$11:$BN$18,MATCH(Summary!P$1,'RA9-Codisposal Upper'!$A$9:$BN$9,1),FALSE),0)+IFERROR(VLOOKUP($B13,'RA10-Codisposal Slopes'!$A$11:$BN$18,MATCH(Summary!P$1,'RA10-Codisposal Slopes'!$A$9:$BN$9,1),FALSE),0)+IFERROR(VLOOKUP($B13,'IA1-Final Void inc Ramps'!$A$11:$BN$18,MATCH(Summary!P$1,'IA1-Final Void inc Ramps'!$A$9:$BN$9,1),FALSE),0)</f>
        <v>0</v>
      </c>
      <c r="Q13" s="51">
        <f>IFERROR(VLOOKUP($B13,'RA1- Elevated Dumps Upper'!$A$11:$BN$18,MATCH(Summary!Q$1,'RA1- Elevated Dumps Upper'!$A$9:$BN$9,1),FALSE),0)+IFERROR(VLOOKUP($B13,'RA2-Elevated Dumps Slopes'!$A$11:$BN$18,MATCH(Summary!Q$1,'RA2-Elevated Dumps Slopes'!$A$9:$BN$9,1),FALSE),0)+IFERROR(VLOOKUP($B13,'RA3-Backfilled Pits'!$A$11:$BN$18,MATCH(Summary!Q$1,'RA3-Backfilled Pits'!$A$9:$BN$9,1),FALSE),0)+IFERROR(VLOOKUP($B13,'RA4-Tracks_Roads'!$A$11:$BN$18,MATCH(Summary!Q$1,'RA4-Tracks_Roads'!$A$9:$BN$9,1),FALSE),0)+IFERROR(VLOOKUP($B13,'RA5-ROM'!$A$11:$BN$18,MATCH(Summary!Q$1,'RA5-ROM'!$A$9:$BN$9,1),FALSE),0)+IFERROR(VLOOKUP($B13,'RA6-CHPP'!$A$11:$BN$18,MATCH(Summary!Q$1,'RA6-CHPP'!$A$9:$BN$9,1),FALSE),0)+IFERROR(VLOOKUP($B13,'RA7-Mine Infrastructure Area'!$A$11:$BN$18,MATCH(Summary!Q$1,'RA7-Mine Infrastructure Area'!$A$9:$BN$9,1),FALSE),0)+IFERROR(VLOOKUP($B13,'RA8-Water Management Structures'!$A$11:$BN$18,MATCH(Summary!Q$1,'RA8-Water Management Structures'!$A$9:$BN$9,1),FALSE),0)+IFERROR(VLOOKUP($B13,'RA9-Codisposal Upper'!$A$11:$BN$18,MATCH(Summary!Q$1,'RA9-Codisposal Upper'!$A$9:$BN$9,1),FALSE),0)+IFERROR(VLOOKUP($B13,'RA10-Codisposal Slopes'!$A$11:$BN$18,MATCH(Summary!Q$1,'RA10-Codisposal Slopes'!$A$9:$BN$9,1),FALSE),0)+IFERROR(VLOOKUP($B13,'IA1-Final Void inc Ramps'!$A$11:$BN$18,MATCH(Summary!Q$1,'IA1-Final Void inc Ramps'!$A$9:$BN$9,1),FALSE),0)</f>
        <v>0</v>
      </c>
      <c r="R13" s="51">
        <f>IFERROR(VLOOKUP($B13,'RA1- Elevated Dumps Upper'!$A$11:$BN$18,MATCH(Summary!R$1,'RA1- Elevated Dumps Upper'!$A$9:$BN$9,1),FALSE),0)+IFERROR(VLOOKUP($B13,'RA2-Elevated Dumps Slopes'!$A$11:$BN$18,MATCH(Summary!R$1,'RA2-Elevated Dumps Slopes'!$A$9:$BN$9,1),FALSE),0)+IFERROR(VLOOKUP($B13,'RA3-Backfilled Pits'!$A$11:$BN$18,MATCH(Summary!R$1,'RA3-Backfilled Pits'!$A$9:$BN$9,1),FALSE),0)+IFERROR(VLOOKUP($B13,'RA4-Tracks_Roads'!$A$11:$BN$18,MATCH(Summary!R$1,'RA4-Tracks_Roads'!$A$9:$BN$9,1),FALSE),0)+IFERROR(VLOOKUP($B13,'RA5-ROM'!$A$11:$BN$18,MATCH(Summary!R$1,'RA5-ROM'!$A$9:$BN$9,1),FALSE),0)+IFERROR(VLOOKUP($B13,'RA6-CHPP'!$A$11:$BN$18,MATCH(Summary!R$1,'RA6-CHPP'!$A$9:$BN$9,1),FALSE),0)+IFERROR(VLOOKUP($B13,'RA7-Mine Infrastructure Area'!$A$11:$BN$18,MATCH(Summary!R$1,'RA7-Mine Infrastructure Area'!$A$9:$BN$9,1),FALSE),0)+IFERROR(VLOOKUP($B13,'RA8-Water Management Structures'!$A$11:$BN$18,MATCH(Summary!R$1,'RA8-Water Management Structures'!$A$9:$BN$9,1),FALSE),0)+IFERROR(VLOOKUP($B13,'RA9-Codisposal Upper'!$A$11:$BN$18,MATCH(Summary!R$1,'RA9-Codisposal Upper'!$A$9:$BN$9,1),FALSE),0)+IFERROR(VLOOKUP($B13,'RA10-Codisposal Slopes'!$A$11:$BN$18,MATCH(Summary!R$1,'RA10-Codisposal Slopes'!$A$9:$BN$9,1),FALSE),0)+IFERROR(VLOOKUP($B13,'IA1-Final Void inc Ramps'!$A$11:$BN$18,MATCH(Summary!R$1,'IA1-Final Void inc Ramps'!$A$9:$BN$9,1),FALSE),0)</f>
        <v>0</v>
      </c>
      <c r="S13" s="51">
        <f>IFERROR(VLOOKUP($B13,'RA1- Elevated Dumps Upper'!$A$11:$BN$18,MATCH(Summary!S$1,'RA1- Elevated Dumps Upper'!$A$9:$BN$9,1),FALSE),0)+IFERROR(VLOOKUP($B13,'RA2-Elevated Dumps Slopes'!$A$11:$BN$18,MATCH(Summary!S$1,'RA2-Elevated Dumps Slopes'!$A$9:$BN$9,1),FALSE),0)+IFERROR(VLOOKUP($B13,'RA3-Backfilled Pits'!$A$11:$BN$18,MATCH(Summary!S$1,'RA3-Backfilled Pits'!$A$9:$BN$9,1),FALSE),0)+IFERROR(VLOOKUP($B13,'RA4-Tracks_Roads'!$A$11:$BN$18,MATCH(Summary!S$1,'RA4-Tracks_Roads'!$A$9:$BN$9,1),FALSE),0)+IFERROR(VLOOKUP($B13,'RA5-ROM'!$A$11:$BN$18,MATCH(Summary!S$1,'RA5-ROM'!$A$9:$BN$9,1),FALSE),0)+IFERROR(VLOOKUP($B13,'RA6-CHPP'!$A$11:$BN$18,MATCH(Summary!S$1,'RA6-CHPP'!$A$9:$BN$9,1),FALSE),0)+IFERROR(VLOOKUP($B13,'RA7-Mine Infrastructure Area'!$A$11:$BN$18,MATCH(Summary!S$1,'RA7-Mine Infrastructure Area'!$A$9:$BN$9,1),FALSE),0)+IFERROR(VLOOKUP($B13,'RA8-Water Management Structures'!$A$11:$BN$18,MATCH(Summary!S$1,'RA8-Water Management Structures'!$A$9:$BN$9,1),FALSE),0)+IFERROR(VLOOKUP($B13,'RA9-Codisposal Upper'!$A$11:$BN$18,MATCH(Summary!S$1,'RA9-Codisposal Upper'!$A$9:$BN$9,1),FALSE),0)+IFERROR(VLOOKUP($B13,'RA10-Codisposal Slopes'!$A$11:$BN$18,MATCH(Summary!S$1,'RA10-Codisposal Slopes'!$A$9:$BN$9,1),FALSE),0)+IFERROR(VLOOKUP($B13,'IA1-Final Void inc Ramps'!$A$11:$BN$18,MATCH(Summary!S$1,'IA1-Final Void inc Ramps'!$A$9:$BN$9,1),FALSE),0)</f>
        <v>0</v>
      </c>
      <c r="T13" s="51">
        <f>IFERROR(VLOOKUP($B13,'RA1- Elevated Dumps Upper'!$A$11:$BN$18,MATCH(Summary!T$1,'RA1- Elevated Dumps Upper'!$A$9:$BN$9,1),FALSE),0)+IFERROR(VLOOKUP($B13,'RA2-Elevated Dumps Slopes'!$A$11:$BN$18,MATCH(Summary!T$1,'RA2-Elevated Dumps Slopes'!$A$9:$BN$9,1),FALSE),0)+IFERROR(VLOOKUP($B13,'RA3-Backfilled Pits'!$A$11:$BN$18,MATCH(Summary!T$1,'RA3-Backfilled Pits'!$A$9:$BN$9,1),FALSE),0)+IFERROR(VLOOKUP($B13,'RA4-Tracks_Roads'!$A$11:$BN$18,MATCH(Summary!T$1,'RA4-Tracks_Roads'!$A$9:$BN$9,1),FALSE),0)+IFERROR(VLOOKUP($B13,'RA5-ROM'!$A$11:$BN$18,MATCH(Summary!T$1,'RA5-ROM'!$A$9:$BN$9,1),FALSE),0)+IFERROR(VLOOKUP($B13,'RA6-CHPP'!$A$11:$BN$18,MATCH(Summary!T$1,'RA6-CHPP'!$A$9:$BN$9,1),FALSE),0)+IFERROR(VLOOKUP($B13,'RA7-Mine Infrastructure Area'!$A$11:$BN$18,MATCH(Summary!T$1,'RA7-Mine Infrastructure Area'!$A$9:$BN$9,1),FALSE),0)+IFERROR(VLOOKUP($B13,'RA8-Water Management Structures'!$A$11:$BN$18,MATCH(Summary!T$1,'RA8-Water Management Structures'!$A$9:$BN$9,1),FALSE),0)+IFERROR(VLOOKUP($B13,'RA9-Codisposal Upper'!$A$11:$BN$18,MATCH(Summary!T$1,'RA9-Codisposal Upper'!$A$9:$BN$9,1),FALSE),0)+IFERROR(VLOOKUP($B13,'RA10-Codisposal Slopes'!$A$11:$BN$18,MATCH(Summary!T$1,'RA10-Codisposal Slopes'!$A$9:$BN$9,1),FALSE),0)+IFERROR(VLOOKUP($B13,'IA1-Final Void inc Ramps'!$A$11:$BN$18,MATCH(Summary!T$1,'IA1-Final Void inc Ramps'!$A$9:$BN$9,1),FALSE),0)</f>
        <v>0</v>
      </c>
      <c r="U13" s="51">
        <f>IFERROR(VLOOKUP($B13,'RA1- Elevated Dumps Upper'!$A$11:$BN$18,MATCH(Summary!U$1,'RA1- Elevated Dumps Upper'!$A$9:$BN$9,1),FALSE),0)+IFERROR(VLOOKUP($B13,'RA2-Elevated Dumps Slopes'!$A$11:$BN$18,MATCH(Summary!U$1,'RA2-Elevated Dumps Slopes'!$A$9:$BN$9,1),FALSE),0)+IFERROR(VLOOKUP($B13,'RA3-Backfilled Pits'!$A$11:$BN$18,MATCH(Summary!U$1,'RA3-Backfilled Pits'!$A$9:$BN$9,1),FALSE),0)+IFERROR(VLOOKUP($B13,'RA4-Tracks_Roads'!$A$11:$BN$18,MATCH(Summary!U$1,'RA4-Tracks_Roads'!$A$9:$BN$9,1),FALSE),0)+IFERROR(VLOOKUP($B13,'RA5-ROM'!$A$11:$BN$18,MATCH(Summary!U$1,'RA5-ROM'!$A$9:$BN$9,1),FALSE),0)+IFERROR(VLOOKUP($B13,'RA6-CHPP'!$A$11:$BN$18,MATCH(Summary!U$1,'RA6-CHPP'!$A$9:$BN$9,1),FALSE),0)+IFERROR(VLOOKUP($B13,'RA7-Mine Infrastructure Area'!$A$11:$BN$18,MATCH(Summary!U$1,'RA7-Mine Infrastructure Area'!$A$9:$BN$9,1),FALSE),0)+IFERROR(VLOOKUP($B13,'RA8-Water Management Structures'!$A$11:$BN$18,MATCH(Summary!U$1,'RA8-Water Management Structures'!$A$9:$BN$9,1),FALSE),0)+IFERROR(VLOOKUP($B13,'RA9-Codisposal Upper'!$A$11:$BN$18,MATCH(Summary!U$1,'RA9-Codisposal Upper'!$A$9:$BN$9,1),FALSE),0)+IFERROR(VLOOKUP($B13,'RA10-Codisposal Slopes'!$A$11:$BN$18,MATCH(Summary!U$1,'RA10-Codisposal Slopes'!$A$9:$BN$9,1),FALSE),0)+IFERROR(VLOOKUP($B13,'IA1-Final Void inc Ramps'!$A$11:$BN$18,MATCH(Summary!U$1,'IA1-Final Void inc Ramps'!$A$9:$BN$9,1),FALSE),0)</f>
        <v>0</v>
      </c>
      <c r="V13" s="51">
        <f>IFERROR(VLOOKUP($B13,'RA1- Elevated Dumps Upper'!$A$11:$BN$18,MATCH(Summary!V$1,'RA1- Elevated Dumps Upper'!$A$9:$BN$9,1),FALSE),0)+IFERROR(VLOOKUP($B13,'RA2-Elevated Dumps Slopes'!$A$11:$BN$18,MATCH(Summary!V$1,'RA2-Elevated Dumps Slopes'!$A$9:$BN$9,1),FALSE),0)+IFERROR(VLOOKUP($B13,'RA3-Backfilled Pits'!$A$11:$BN$18,MATCH(Summary!V$1,'RA3-Backfilled Pits'!$A$9:$BN$9,1),FALSE),0)+IFERROR(VLOOKUP($B13,'RA4-Tracks_Roads'!$A$11:$BN$18,MATCH(Summary!V$1,'RA4-Tracks_Roads'!$A$9:$BN$9,1),FALSE),0)+IFERROR(VLOOKUP($B13,'RA5-ROM'!$A$11:$BN$18,MATCH(Summary!V$1,'RA5-ROM'!$A$9:$BN$9,1),FALSE),0)+IFERROR(VLOOKUP($B13,'RA6-CHPP'!$A$11:$BN$18,MATCH(Summary!V$1,'RA6-CHPP'!$A$9:$BN$9,1),FALSE),0)+IFERROR(VLOOKUP($B13,'RA7-Mine Infrastructure Area'!$A$11:$BN$18,MATCH(Summary!V$1,'RA7-Mine Infrastructure Area'!$A$9:$BN$9,1),FALSE),0)+IFERROR(VLOOKUP($B13,'RA8-Water Management Structures'!$A$11:$BN$18,MATCH(Summary!V$1,'RA8-Water Management Structures'!$A$9:$BN$9,1),FALSE),0)+IFERROR(VLOOKUP($B13,'RA9-Codisposal Upper'!$A$11:$BN$18,MATCH(Summary!V$1,'RA9-Codisposal Upper'!$A$9:$BN$9,1),FALSE),0)+IFERROR(VLOOKUP($B13,'RA10-Codisposal Slopes'!$A$11:$BN$18,MATCH(Summary!V$1,'RA10-Codisposal Slopes'!$A$9:$BN$9,1),FALSE),0)+IFERROR(VLOOKUP($B13,'IA1-Final Void inc Ramps'!$A$11:$BN$18,MATCH(Summary!V$1,'IA1-Final Void inc Ramps'!$A$9:$BN$9,1),FALSE),0)</f>
        <v>0</v>
      </c>
      <c r="W13" s="51">
        <f>IFERROR(VLOOKUP($B13,'RA1- Elevated Dumps Upper'!$A$11:$BN$18,MATCH(Summary!W$1,'RA1- Elevated Dumps Upper'!$A$9:$BN$9,1),FALSE),0)+IFERROR(VLOOKUP($B13,'RA2-Elevated Dumps Slopes'!$A$11:$BN$18,MATCH(Summary!W$1,'RA2-Elevated Dumps Slopes'!$A$9:$BN$9,1),FALSE),0)+IFERROR(VLOOKUP($B13,'RA3-Backfilled Pits'!$A$11:$BN$18,MATCH(Summary!W$1,'RA3-Backfilled Pits'!$A$9:$BN$9,1),FALSE),0)+IFERROR(VLOOKUP($B13,'RA4-Tracks_Roads'!$A$11:$BN$18,MATCH(Summary!W$1,'RA4-Tracks_Roads'!$A$9:$BN$9,1),FALSE),0)+IFERROR(VLOOKUP($B13,'RA5-ROM'!$A$11:$BN$18,MATCH(Summary!W$1,'RA5-ROM'!$A$9:$BN$9,1),FALSE),0)+IFERROR(VLOOKUP($B13,'RA6-CHPP'!$A$11:$BN$18,MATCH(Summary!W$1,'RA6-CHPP'!$A$9:$BN$9,1),FALSE),0)+IFERROR(VLOOKUP($B13,'RA7-Mine Infrastructure Area'!$A$11:$BN$18,MATCH(Summary!W$1,'RA7-Mine Infrastructure Area'!$A$9:$BN$9,1),FALSE),0)+IFERROR(VLOOKUP($B13,'RA8-Water Management Structures'!$A$11:$BN$18,MATCH(Summary!W$1,'RA8-Water Management Structures'!$A$9:$BN$9,1),FALSE),0)+IFERROR(VLOOKUP($B13,'RA9-Codisposal Upper'!$A$11:$BN$18,MATCH(Summary!W$1,'RA9-Codisposal Upper'!$A$9:$BN$9,1),FALSE),0)+IFERROR(VLOOKUP($B13,'RA10-Codisposal Slopes'!$A$11:$BN$18,MATCH(Summary!W$1,'RA10-Codisposal Slopes'!$A$9:$BN$9,1),FALSE),0)+IFERROR(VLOOKUP($B13,'IA1-Final Void inc Ramps'!$A$11:$BN$18,MATCH(Summary!W$1,'IA1-Final Void inc Ramps'!$A$9:$BN$9,1),FALSE),0)</f>
        <v>0</v>
      </c>
      <c r="X13" s="51">
        <f>IFERROR(VLOOKUP($B13,'RA1- Elevated Dumps Upper'!$A$11:$BN$18,MATCH(Summary!X$1,'RA1- Elevated Dumps Upper'!$A$9:$BN$9,1),FALSE),0)+IFERROR(VLOOKUP($B13,'RA2-Elevated Dumps Slopes'!$A$11:$BN$18,MATCH(Summary!X$1,'RA2-Elevated Dumps Slopes'!$A$9:$BN$9,1),FALSE),0)+IFERROR(VLOOKUP($B13,'RA3-Backfilled Pits'!$A$11:$BN$18,MATCH(Summary!X$1,'RA3-Backfilled Pits'!$A$9:$BN$9,1),FALSE),0)+IFERROR(VLOOKUP($B13,'RA4-Tracks_Roads'!$A$11:$BN$18,MATCH(Summary!X$1,'RA4-Tracks_Roads'!$A$9:$BN$9,1),FALSE),0)+IFERROR(VLOOKUP($B13,'RA5-ROM'!$A$11:$BN$18,MATCH(Summary!X$1,'RA5-ROM'!$A$9:$BN$9,1),FALSE),0)+IFERROR(VLOOKUP($B13,'RA6-CHPP'!$A$11:$BN$18,MATCH(Summary!X$1,'RA6-CHPP'!$A$9:$BN$9,1),FALSE),0)+IFERROR(VLOOKUP($B13,'RA7-Mine Infrastructure Area'!$A$11:$BN$18,MATCH(Summary!X$1,'RA7-Mine Infrastructure Area'!$A$9:$BN$9,1),FALSE),0)+IFERROR(VLOOKUP($B13,'RA8-Water Management Structures'!$A$11:$BN$18,MATCH(Summary!X$1,'RA8-Water Management Structures'!$A$9:$BN$9,1),FALSE),0)+IFERROR(VLOOKUP($B13,'RA9-Codisposal Upper'!$A$11:$BN$18,MATCH(Summary!X$1,'RA9-Codisposal Upper'!$A$9:$BN$9,1),FALSE),0)+IFERROR(VLOOKUP($B13,'RA10-Codisposal Slopes'!$A$11:$BN$18,MATCH(Summary!X$1,'RA10-Codisposal Slopes'!$A$9:$BN$9,1),FALSE),0)+IFERROR(VLOOKUP($B13,'IA1-Final Void inc Ramps'!$A$11:$BN$18,MATCH(Summary!X$1,'IA1-Final Void inc Ramps'!$A$9:$BN$9,1),FALSE),0)</f>
        <v>0</v>
      </c>
      <c r="Y13" s="51">
        <f>IFERROR(VLOOKUP($B13,'RA1- Elevated Dumps Upper'!$A$11:$BN$18,MATCH(Summary!Y$1,'RA1- Elevated Dumps Upper'!$A$9:$BN$9,1),FALSE),0)+IFERROR(VLOOKUP($B13,'RA2-Elevated Dumps Slopes'!$A$11:$BN$18,MATCH(Summary!Y$1,'RA2-Elevated Dumps Slopes'!$A$9:$BN$9,1),FALSE),0)+IFERROR(VLOOKUP($B13,'RA3-Backfilled Pits'!$A$11:$BN$18,MATCH(Summary!Y$1,'RA3-Backfilled Pits'!$A$9:$BN$9,1),FALSE),0)+IFERROR(VLOOKUP($B13,'RA4-Tracks_Roads'!$A$11:$BN$18,MATCH(Summary!Y$1,'RA4-Tracks_Roads'!$A$9:$BN$9,1),FALSE),0)+IFERROR(VLOOKUP($B13,'RA5-ROM'!$A$11:$BN$18,MATCH(Summary!Y$1,'RA5-ROM'!$A$9:$BN$9,1),FALSE),0)+IFERROR(VLOOKUP($B13,'RA6-CHPP'!$A$11:$BN$18,MATCH(Summary!Y$1,'RA6-CHPP'!$A$9:$BN$9,1),FALSE),0)+IFERROR(VLOOKUP($B13,'RA7-Mine Infrastructure Area'!$A$11:$BN$18,MATCH(Summary!Y$1,'RA7-Mine Infrastructure Area'!$A$9:$BN$9,1),FALSE),0)+IFERROR(VLOOKUP($B13,'RA8-Water Management Structures'!$A$11:$BN$18,MATCH(Summary!Y$1,'RA8-Water Management Structures'!$A$9:$BN$9,1),FALSE),0)+IFERROR(VLOOKUP($B13,'RA9-Codisposal Upper'!$A$11:$BN$18,MATCH(Summary!Y$1,'RA9-Codisposal Upper'!$A$9:$BN$9,1),FALSE),0)+IFERROR(VLOOKUP($B13,'RA10-Codisposal Slopes'!$A$11:$BN$18,MATCH(Summary!Y$1,'RA10-Codisposal Slopes'!$A$9:$BN$9,1),FALSE),0)+IFERROR(VLOOKUP($B13,'IA1-Final Void inc Ramps'!$A$11:$BN$18,MATCH(Summary!Y$1,'IA1-Final Void inc Ramps'!$A$9:$BN$9,1),FALSE),0)</f>
        <v>0</v>
      </c>
      <c r="Z13" s="51">
        <f>IFERROR(VLOOKUP($B13,'RA1- Elevated Dumps Upper'!$A$11:$BN$18,MATCH(Summary!Z$1,'RA1- Elevated Dumps Upper'!$A$9:$BN$9,1),FALSE),0)+IFERROR(VLOOKUP($B13,'RA2-Elevated Dumps Slopes'!$A$11:$BN$18,MATCH(Summary!Z$1,'RA2-Elevated Dumps Slopes'!$A$9:$BN$9,1),FALSE),0)+IFERROR(VLOOKUP($B13,'RA3-Backfilled Pits'!$A$11:$BN$18,MATCH(Summary!Z$1,'RA3-Backfilled Pits'!$A$9:$BN$9,1),FALSE),0)+IFERROR(VLOOKUP($B13,'RA4-Tracks_Roads'!$A$11:$BN$18,MATCH(Summary!Z$1,'RA4-Tracks_Roads'!$A$9:$BN$9,1),FALSE),0)+IFERROR(VLOOKUP($B13,'RA5-ROM'!$A$11:$BN$18,MATCH(Summary!Z$1,'RA5-ROM'!$A$9:$BN$9,1),FALSE),0)+IFERROR(VLOOKUP($B13,'RA6-CHPP'!$A$11:$BN$18,MATCH(Summary!Z$1,'RA6-CHPP'!$A$9:$BN$9,1),FALSE),0)+IFERROR(VLOOKUP($B13,'RA7-Mine Infrastructure Area'!$A$11:$BN$18,MATCH(Summary!Z$1,'RA7-Mine Infrastructure Area'!$A$9:$BN$9,1),FALSE),0)+IFERROR(VLOOKUP($B13,'RA8-Water Management Structures'!$A$11:$BN$18,MATCH(Summary!Z$1,'RA8-Water Management Structures'!$A$9:$BN$9,1),FALSE),0)+IFERROR(VLOOKUP($B13,'RA9-Codisposal Upper'!$A$11:$BN$18,MATCH(Summary!Z$1,'RA9-Codisposal Upper'!$A$9:$BN$9,1),FALSE),0)+IFERROR(VLOOKUP($B13,'RA10-Codisposal Slopes'!$A$11:$BN$18,MATCH(Summary!Z$1,'RA10-Codisposal Slopes'!$A$9:$BN$9,1),FALSE),0)+IFERROR(VLOOKUP($B13,'IA1-Final Void inc Ramps'!$A$11:$BN$18,MATCH(Summary!Z$1,'IA1-Final Void inc Ramps'!$A$9:$BN$9,1),FALSE),0)</f>
        <v>0</v>
      </c>
      <c r="AA13" s="51">
        <f>IFERROR(VLOOKUP($B13,'RA1- Elevated Dumps Upper'!$A$11:$BN$18,MATCH(Summary!AA$1,'RA1- Elevated Dumps Upper'!$A$9:$BN$9,1),FALSE),0)+IFERROR(VLOOKUP($B13,'RA2-Elevated Dumps Slopes'!$A$11:$BN$18,MATCH(Summary!AA$1,'RA2-Elevated Dumps Slopes'!$A$9:$BN$9,1),FALSE),0)+IFERROR(VLOOKUP($B13,'RA3-Backfilled Pits'!$A$11:$BN$18,MATCH(Summary!AA$1,'RA3-Backfilled Pits'!$A$9:$BN$9,1),FALSE),0)+IFERROR(VLOOKUP($B13,'RA4-Tracks_Roads'!$A$11:$BN$18,MATCH(Summary!AA$1,'RA4-Tracks_Roads'!$A$9:$BN$9,1),FALSE),0)+IFERROR(VLOOKUP($B13,'RA5-ROM'!$A$11:$BN$18,MATCH(Summary!AA$1,'RA5-ROM'!$A$9:$BN$9,1),FALSE),0)+IFERROR(VLOOKUP($B13,'RA6-CHPP'!$A$11:$BN$18,MATCH(Summary!AA$1,'RA6-CHPP'!$A$9:$BN$9,1),FALSE),0)+IFERROR(VLOOKUP($B13,'RA7-Mine Infrastructure Area'!$A$11:$BN$18,MATCH(Summary!AA$1,'RA7-Mine Infrastructure Area'!$A$9:$BN$9,1),FALSE),0)+IFERROR(VLOOKUP($B13,'RA8-Water Management Structures'!$A$11:$BN$18,MATCH(Summary!AA$1,'RA8-Water Management Structures'!$A$9:$BN$9,1),FALSE),0)+IFERROR(VLOOKUP($B13,'RA9-Codisposal Upper'!$A$11:$BN$18,MATCH(Summary!AA$1,'RA9-Codisposal Upper'!$A$9:$BN$9,1),FALSE),0)+IFERROR(VLOOKUP($B13,'RA10-Codisposal Slopes'!$A$11:$BN$18,MATCH(Summary!AA$1,'RA10-Codisposal Slopes'!$A$9:$BN$9,1),FALSE),0)+IFERROR(VLOOKUP($B13,'IA1-Final Void inc Ramps'!$A$11:$BN$18,MATCH(Summary!AA$1,'IA1-Final Void inc Ramps'!$A$9:$BN$9,1),FALSE),0)</f>
        <v>0</v>
      </c>
      <c r="AB13" s="51">
        <f>IFERROR(VLOOKUP($B13,'RA1- Elevated Dumps Upper'!$A$11:$BN$18,MATCH(Summary!AB$1,'RA1- Elevated Dumps Upper'!$A$9:$BN$9,1),FALSE),0)+IFERROR(VLOOKUP($B13,'RA2-Elevated Dumps Slopes'!$A$11:$BN$18,MATCH(Summary!AB$1,'RA2-Elevated Dumps Slopes'!$A$9:$BN$9,1),FALSE),0)+IFERROR(VLOOKUP($B13,'RA3-Backfilled Pits'!$A$11:$BN$18,MATCH(Summary!AB$1,'RA3-Backfilled Pits'!$A$9:$BN$9,1),FALSE),0)+IFERROR(VLOOKUP($B13,'RA4-Tracks_Roads'!$A$11:$BN$18,MATCH(Summary!AB$1,'RA4-Tracks_Roads'!$A$9:$BN$9,1),FALSE),0)+IFERROR(VLOOKUP($B13,'RA5-ROM'!$A$11:$BN$18,MATCH(Summary!AB$1,'RA5-ROM'!$A$9:$BN$9,1),FALSE),0)+IFERROR(VLOOKUP($B13,'RA6-CHPP'!$A$11:$BN$18,MATCH(Summary!AB$1,'RA6-CHPP'!$A$9:$BN$9,1),FALSE),0)+IFERROR(VLOOKUP($B13,'RA7-Mine Infrastructure Area'!$A$11:$BN$18,MATCH(Summary!AB$1,'RA7-Mine Infrastructure Area'!$A$9:$BN$9,1),FALSE),0)+IFERROR(VLOOKUP($B13,'RA8-Water Management Structures'!$A$11:$BN$18,MATCH(Summary!AB$1,'RA8-Water Management Structures'!$A$9:$BN$9,1),FALSE),0)+IFERROR(VLOOKUP($B13,'RA9-Codisposal Upper'!$A$11:$BN$18,MATCH(Summary!AB$1,'RA9-Codisposal Upper'!$A$9:$BN$9,1),FALSE),0)+IFERROR(VLOOKUP($B13,'RA10-Codisposal Slopes'!$A$11:$BN$18,MATCH(Summary!AB$1,'RA10-Codisposal Slopes'!$A$9:$BN$9,1),FALSE),0)+IFERROR(VLOOKUP($B13,'IA1-Final Void inc Ramps'!$A$11:$BN$18,MATCH(Summary!AB$1,'IA1-Final Void inc Ramps'!$A$9:$BN$9,1),FALSE),0)</f>
        <v>0</v>
      </c>
      <c r="AC13" s="51">
        <f>IFERROR(VLOOKUP($B13,'RA1- Elevated Dumps Upper'!$A$11:$BN$18,MATCH(Summary!AC$1,'RA1- Elevated Dumps Upper'!$A$9:$BN$9,1),FALSE),0)+IFERROR(VLOOKUP($B13,'RA2-Elevated Dumps Slopes'!$A$11:$BN$18,MATCH(Summary!AC$1,'RA2-Elevated Dumps Slopes'!$A$9:$BN$9,1),FALSE),0)+IFERROR(VLOOKUP($B13,'RA3-Backfilled Pits'!$A$11:$BN$18,MATCH(Summary!AC$1,'RA3-Backfilled Pits'!$A$9:$BN$9,1),FALSE),0)+IFERROR(VLOOKUP($B13,'RA4-Tracks_Roads'!$A$11:$BN$18,MATCH(Summary!AC$1,'RA4-Tracks_Roads'!$A$9:$BN$9,1),FALSE),0)+IFERROR(VLOOKUP($B13,'RA5-ROM'!$A$11:$BN$18,MATCH(Summary!AC$1,'RA5-ROM'!$A$9:$BN$9,1),FALSE),0)+IFERROR(VLOOKUP($B13,'RA6-CHPP'!$A$11:$BN$18,MATCH(Summary!AC$1,'RA6-CHPP'!$A$9:$BN$9,1),FALSE),0)+IFERROR(VLOOKUP($B13,'RA7-Mine Infrastructure Area'!$A$11:$BN$18,MATCH(Summary!AC$1,'RA7-Mine Infrastructure Area'!$A$9:$BN$9,1),FALSE),0)+IFERROR(VLOOKUP($B13,'RA8-Water Management Structures'!$A$11:$BN$18,MATCH(Summary!AC$1,'RA8-Water Management Structures'!$A$9:$BN$9,1),FALSE),0)+IFERROR(VLOOKUP($B13,'RA9-Codisposal Upper'!$A$11:$BN$18,MATCH(Summary!AC$1,'RA9-Codisposal Upper'!$A$9:$BN$9,1),FALSE),0)+IFERROR(VLOOKUP($B13,'RA10-Codisposal Slopes'!$A$11:$BN$18,MATCH(Summary!AC$1,'RA10-Codisposal Slopes'!$A$9:$BN$9,1),FALSE),0)+IFERROR(VLOOKUP($B13,'IA1-Final Void inc Ramps'!$A$11:$BN$18,MATCH(Summary!AC$1,'IA1-Final Void inc Ramps'!$A$9:$BN$9,1),FALSE),0)</f>
        <v>72.989999999999995</v>
      </c>
      <c r="AD13" s="51">
        <f>IFERROR(VLOOKUP($B13,'RA1- Elevated Dumps Upper'!$A$11:$BN$18,MATCH(Summary!AD$1,'RA1- Elevated Dumps Upper'!$A$9:$BN$9,1),FALSE),0)+IFERROR(VLOOKUP($B13,'RA2-Elevated Dumps Slopes'!$A$11:$BN$18,MATCH(Summary!AD$1,'RA2-Elevated Dumps Slopes'!$A$9:$BN$9,1),FALSE),0)+IFERROR(VLOOKUP($B13,'RA3-Backfilled Pits'!$A$11:$BN$18,MATCH(Summary!AD$1,'RA3-Backfilled Pits'!$A$9:$BN$9,1),FALSE),0)+IFERROR(VLOOKUP($B13,'RA4-Tracks_Roads'!$A$11:$BN$18,MATCH(Summary!AD$1,'RA4-Tracks_Roads'!$A$9:$BN$9,1),FALSE),0)+IFERROR(VLOOKUP($B13,'RA5-ROM'!$A$11:$BN$18,MATCH(Summary!AD$1,'RA5-ROM'!$A$9:$BN$9,1),FALSE),0)+IFERROR(VLOOKUP($B13,'RA6-CHPP'!$A$11:$BN$18,MATCH(Summary!AD$1,'RA6-CHPP'!$A$9:$BN$9,1),FALSE),0)+IFERROR(VLOOKUP($B13,'RA7-Mine Infrastructure Area'!$A$11:$BN$18,MATCH(Summary!AD$1,'RA7-Mine Infrastructure Area'!$A$9:$BN$9,1),FALSE),0)+IFERROR(VLOOKUP($B13,'RA8-Water Management Structures'!$A$11:$BN$18,MATCH(Summary!AD$1,'RA8-Water Management Structures'!$A$9:$BN$9,1),FALSE),0)+IFERROR(VLOOKUP($B13,'RA9-Codisposal Upper'!$A$11:$BN$18,MATCH(Summary!AD$1,'RA9-Codisposal Upper'!$A$9:$BN$9,1),FALSE),0)+IFERROR(VLOOKUP($B13,'RA10-Codisposal Slopes'!$A$11:$BN$18,MATCH(Summary!AD$1,'RA10-Codisposal Slopes'!$A$9:$BN$9,1),FALSE),0)+IFERROR(VLOOKUP($B13,'IA1-Final Void inc Ramps'!$A$11:$BN$18,MATCH(Summary!AD$1,'IA1-Final Void inc Ramps'!$A$9:$BN$9,1),FALSE),0)</f>
        <v>72.989999999999995</v>
      </c>
      <c r="AE13" s="51">
        <f>IFERROR(VLOOKUP($B13,'RA1- Elevated Dumps Upper'!$A$11:$BN$18,MATCH(Summary!AE$1,'RA1- Elevated Dumps Upper'!$A$9:$BN$9,1),FALSE),0)+IFERROR(VLOOKUP($B13,'RA2-Elevated Dumps Slopes'!$A$11:$BN$18,MATCH(Summary!AE$1,'RA2-Elevated Dumps Slopes'!$A$9:$BN$9,1),FALSE),0)+IFERROR(VLOOKUP($B13,'RA3-Backfilled Pits'!$A$11:$BN$18,MATCH(Summary!AE$1,'RA3-Backfilled Pits'!$A$9:$BN$9,1),FALSE),0)+IFERROR(VLOOKUP($B13,'RA4-Tracks_Roads'!$A$11:$BN$18,MATCH(Summary!AE$1,'RA4-Tracks_Roads'!$A$9:$BN$9,1),FALSE),0)+IFERROR(VLOOKUP($B13,'RA5-ROM'!$A$11:$BN$18,MATCH(Summary!AE$1,'RA5-ROM'!$A$9:$BN$9,1),FALSE),0)+IFERROR(VLOOKUP($B13,'RA6-CHPP'!$A$11:$BN$18,MATCH(Summary!AE$1,'RA6-CHPP'!$A$9:$BN$9,1),FALSE),0)+IFERROR(VLOOKUP($B13,'RA7-Mine Infrastructure Area'!$A$11:$BN$18,MATCH(Summary!AE$1,'RA7-Mine Infrastructure Area'!$A$9:$BN$9,1),FALSE),0)+IFERROR(VLOOKUP($B13,'RA8-Water Management Structures'!$A$11:$BN$18,MATCH(Summary!AE$1,'RA8-Water Management Structures'!$A$9:$BN$9,1),FALSE),0)+IFERROR(VLOOKUP($B13,'RA9-Codisposal Upper'!$A$11:$BN$18,MATCH(Summary!AE$1,'RA9-Codisposal Upper'!$A$9:$BN$9,1),FALSE),0)+IFERROR(VLOOKUP($B13,'RA10-Codisposal Slopes'!$A$11:$BN$18,MATCH(Summary!AE$1,'RA10-Codisposal Slopes'!$A$9:$BN$9,1),FALSE),0)+IFERROR(VLOOKUP($B13,'IA1-Final Void inc Ramps'!$A$11:$BN$18,MATCH(Summary!AE$1,'IA1-Final Void inc Ramps'!$A$9:$BN$9,1),FALSE),0)</f>
        <v>156.613</v>
      </c>
      <c r="AF13" s="51">
        <f>IFERROR(VLOOKUP($B13,'RA1- Elevated Dumps Upper'!$A$11:$BN$18,MATCH(Summary!AF$1,'RA1- Elevated Dumps Upper'!$A$9:$BN$9,1),FALSE),0)+IFERROR(VLOOKUP($B13,'RA2-Elevated Dumps Slopes'!$A$11:$BN$18,MATCH(Summary!AF$1,'RA2-Elevated Dumps Slopes'!$A$9:$BN$9,1),FALSE),0)+IFERROR(VLOOKUP($B13,'RA3-Backfilled Pits'!$A$11:$BN$18,MATCH(Summary!AF$1,'RA3-Backfilled Pits'!$A$9:$BN$9,1),FALSE),0)+IFERROR(VLOOKUP($B13,'RA4-Tracks_Roads'!$A$11:$BN$18,MATCH(Summary!AF$1,'RA4-Tracks_Roads'!$A$9:$BN$9,1),FALSE),0)+IFERROR(VLOOKUP($B13,'RA5-ROM'!$A$11:$BN$18,MATCH(Summary!AF$1,'RA5-ROM'!$A$9:$BN$9,1),FALSE),0)+IFERROR(VLOOKUP($B13,'RA6-CHPP'!$A$11:$BN$18,MATCH(Summary!AF$1,'RA6-CHPP'!$A$9:$BN$9,1),FALSE),0)+IFERROR(VLOOKUP($B13,'RA7-Mine Infrastructure Area'!$A$11:$BN$18,MATCH(Summary!AF$1,'RA7-Mine Infrastructure Area'!$A$9:$BN$9,1),FALSE),0)+IFERROR(VLOOKUP($B13,'RA8-Water Management Structures'!$A$11:$BN$18,MATCH(Summary!AF$1,'RA8-Water Management Structures'!$A$9:$BN$9,1),FALSE),0)+IFERROR(VLOOKUP($B13,'RA9-Codisposal Upper'!$A$11:$BN$18,MATCH(Summary!AF$1,'RA9-Codisposal Upper'!$A$9:$BN$9,1),FALSE),0)+IFERROR(VLOOKUP($B13,'RA10-Codisposal Slopes'!$A$11:$BN$18,MATCH(Summary!AF$1,'RA10-Codisposal Slopes'!$A$9:$BN$9,1),FALSE),0)+IFERROR(VLOOKUP($B13,'IA1-Final Void inc Ramps'!$A$11:$BN$18,MATCH(Summary!AF$1,'IA1-Final Void inc Ramps'!$A$9:$BN$9,1),FALSE),0)</f>
        <v>156.613</v>
      </c>
      <c r="AG13" s="51">
        <f>IFERROR(VLOOKUP($B13,'RA1- Elevated Dumps Upper'!$A$11:$BN$18,MATCH(Summary!AG$1,'RA1- Elevated Dumps Upper'!$A$9:$BN$9,1),FALSE),0)+IFERROR(VLOOKUP($B13,'RA2-Elevated Dumps Slopes'!$A$11:$BN$18,MATCH(Summary!AG$1,'RA2-Elevated Dumps Slopes'!$A$9:$BN$9,1),FALSE),0)+IFERROR(VLOOKUP($B13,'RA3-Backfilled Pits'!$A$11:$BN$18,MATCH(Summary!AG$1,'RA3-Backfilled Pits'!$A$9:$BN$9,1),FALSE),0)+IFERROR(VLOOKUP($B13,'RA4-Tracks_Roads'!$A$11:$BN$18,MATCH(Summary!AG$1,'RA4-Tracks_Roads'!$A$9:$BN$9,1),FALSE),0)+IFERROR(VLOOKUP($B13,'RA5-ROM'!$A$11:$BN$18,MATCH(Summary!AG$1,'RA5-ROM'!$A$9:$BN$9,1),FALSE),0)+IFERROR(VLOOKUP($B13,'RA6-CHPP'!$A$11:$BN$18,MATCH(Summary!AG$1,'RA6-CHPP'!$A$9:$BN$9,1),FALSE),0)+IFERROR(VLOOKUP($B13,'RA7-Mine Infrastructure Area'!$A$11:$BN$18,MATCH(Summary!AG$1,'RA7-Mine Infrastructure Area'!$A$9:$BN$9,1),FALSE),0)+IFERROR(VLOOKUP($B13,'RA8-Water Management Structures'!$A$11:$BN$18,MATCH(Summary!AG$1,'RA8-Water Management Structures'!$A$9:$BN$9,1),FALSE),0)+IFERROR(VLOOKUP($B13,'RA9-Codisposal Upper'!$A$11:$BN$18,MATCH(Summary!AG$1,'RA9-Codisposal Upper'!$A$9:$BN$9,1),FALSE),0)+IFERROR(VLOOKUP($B13,'RA10-Codisposal Slopes'!$A$11:$BN$18,MATCH(Summary!AG$1,'RA10-Codisposal Slopes'!$A$9:$BN$9,1),FALSE),0)+IFERROR(VLOOKUP($B13,'IA1-Final Void inc Ramps'!$A$11:$BN$18,MATCH(Summary!AG$1,'IA1-Final Void inc Ramps'!$A$9:$BN$9,1),FALSE),0)</f>
        <v>390.53100000000001</v>
      </c>
      <c r="AH13" s="51">
        <f>IFERROR(VLOOKUP($B13,'RA1- Elevated Dumps Upper'!$A$11:$BN$18,MATCH(Summary!AH$1,'RA1- Elevated Dumps Upper'!$A$9:$BN$9,1),FALSE),0)+IFERROR(VLOOKUP($B13,'RA2-Elevated Dumps Slopes'!$A$11:$BN$18,MATCH(Summary!AH$1,'RA2-Elevated Dumps Slopes'!$A$9:$BN$9,1),FALSE),0)+IFERROR(VLOOKUP($B13,'RA3-Backfilled Pits'!$A$11:$BN$18,MATCH(Summary!AH$1,'RA3-Backfilled Pits'!$A$9:$BN$9,1),FALSE),0)+IFERROR(VLOOKUP($B13,'RA4-Tracks_Roads'!$A$11:$BN$18,MATCH(Summary!AH$1,'RA4-Tracks_Roads'!$A$9:$BN$9,1),FALSE),0)+IFERROR(VLOOKUP($B13,'RA5-ROM'!$A$11:$BN$18,MATCH(Summary!AH$1,'RA5-ROM'!$A$9:$BN$9,1),FALSE),0)+IFERROR(VLOOKUP($B13,'RA6-CHPP'!$A$11:$BN$18,MATCH(Summary!AH$1,'RA6-CHPP'!$A$9:$BN$9,1),FALSE),0)+IFERROR(VLOOKUP($B13,'RA7-Mine Infrastructure Area'!$A$11:$BN$18,MATCH(Summary!AH$1,'RA7-Mine Infrastructure Area'!$A$9:$BN$9,1),FALSE),0)+IFERROR(VLOOKUP($B13,'RA8-Water Management Structures'!$A$11:$BN$18,MATCH(Summary!AH$1,'RA8-Water Management Structures'!$A$9:$BN$9,1),FALSE),0)+IFERROR(VLOOKUP($B13,'RA9-Codisposal Upper'!$A$11:$BN$18,MATCH(Summary!AH$1,'RA9-Codisposal Upper'!$A$9:$BN$9,1),FALSE),0)+IFERROR(VLOOKUP($B13,'RA10-Codisposal Slopes'!$A$11:$BN$18,MATCH(Summary!AH$1,'RA10-Codisposal Slopes'!$A$9:$BN$9,1),FALSE),0)+IFERROR(VLOOKUP($B13,'IA1-Final Void inc Ramps'!$A$11:$BN$18,MATCH(Summary!AH$1,'IA1-Final Void inc Ramps'!$A$9:$BN$9,1),FALSE),0)</f>
        <v>407.303</v>
      </c>
      <c r="AI13" s="51">
        <f>IFERROR(VLOOKUP($B13,'RA1- Elevated Dumps Upper'!$A$11:$BN$18,MATCH(Summary!AI$1,'RA1- Elevated Dumps Upper'!$A$9:$BN$9,1),FALSE),0)+IFERROR(VLOOKUP($B13,'RA2-Elevated Dumps Slopes'!$A$11:$BN$18,MATCH(Summary!AI$1,'RA2-Elevated Dumps Slopes'!$A$9:$BN$9,1),FALSE),0)+IFERROR(VLOOKUP($B13,'RA3-Backfilled Pits'!$A$11:$BN$18,MATCH(Summary!AI$1,'RA3-Backfilled Pits'!$A$9:$BN$9,1),FALSE),0)+IFERROR(VLOOKUP($B13,'RA4-Tracks_Roads'!$A$11:$BN$18,MATCH(Summary!AI$1,'RA4-Tracks_Roads'!$A$9:$BN$9,1),FALSE),0)+IFERROR(VLOOKUP($B13,'RA5-ROM'!$A$11:$BN$18,MATCH(Summary!AI$1,'RA5-ROM'!$A$9:$BN$9,1),FALSE),0)+IFERROR(VLOOKUP($B13,'RA6-CHPP'!$A$11:$BN$18,MATCH(Summary!AI$1,'RA6-CHPP'!$A$9:$BN$9,1),FALSE),0)+IFERROR(VLOOKUP($B13,'RA7-Mine Infrastructure Area'!$A$11:$BN$18,MATCH(Summary!AI$1,'RA7-Mine Infrastructure Area'!$A$9:$BN$9,1),FALSE),0)+IFERROR(VLOOKUP($B13,'RA8-Water Management Structures'!$A$11:$BN$18,MATCH(Summary!AI$1,'RA8-Water Management Structures'!$A$9:$BN$9,1),FALSE),0)+IFERROR(VLOOKUP($B13,'RA9-Codisposal Upper'!$A$11:$BN$18,MATCH(Summary!AI$1,'RA9-Codisposal Upper'!$A$9:$BN$9,1),FALSE),0)+IFERROR(VLOOKUP($B13,'RA10-Codisposal Slopes'!$A$11:$BN$18,MATCH(Summary!AI$1,'RA10-Codisposal Slopes'!$A$9:$BN$9,1),FALSE),0)+IFERROR(VLOOKUP($B13,'IA1-Final Void inc Ramps'!$A$11:$BN$18,MATCH(Summary!AI$1,'IA1-Final Void inc Ramps'!$A$9:$BN$9,1),FALSE),0)</f>
        <v>407.303</v>
      </c>
      <c r="AJ13" s="51">
        <f>IFERROR(VLOOKUP($B13,'RA1- Elevated Dumps Upper'!$A$11:$BN$18,MATCH(Summary!AJ$1,'RA1- Elevated Dumps Upper'!$A$9:$BN$9,1),FALSE),0)+IFERROR(VLOOKUP($B13,'RA2-Elevated Dumps Slopes'!$A$11:$BN$18,MATCH(Summary!AJ$1,'RA2-Elevated Dumps Slopes'!$A$9:$BN$9,1),FALSE),0)+IFERROR(VLOOKUP($B13,'RA3-Backfilled Pits'!$A$11:$BN$18,MATCH(Summary!AJ$1,'RA3-Backfilled Pits'!$A$9:$BN$9,1),FALSE),0)+IFERROR(VLOOKUP($B13,'RA4-Tracks_Roads'!$A$11:$BN$18,MATCH(Summary!AJ$1,'RA4-Tracks_Roads'!$A$9:$BN$9,1),FALSE),0)+IFERROR(VLOOKUP($B13,'RA5-ROM'!$A$11:$BN$18,MATCH(Summary!AJ$1,'RA5-ROM'!$A$9:$BN$9,1),FALSE),0)+IFERROR(VLOOKUP($B13,'RA6-CHPP'!$A$11:$BN$18,MATCH(Summary!AJ$1,'RA6-CHPP'!$A$9:$BN$9,1),FALSE),0)+IFERROR(VLOOKUP($B13,'RA7-Mine Infrastructure Area'!$A$11:$BN$18,MATCH(Summary!AJ$1,'RA7-Mine Infrastructure Area'!$A$9:$BN$9,1),FALSE),0)+IFERROR(VLOOKUP($B13,'RA8-Water Management Structures'!$A$11:$BN$18,MATCH(Summary!AJ$1,'RA8-Water Management Structures'!$A$9:$BN$9,1),FALSE),0)+IFERROR(VLOOKUP($B13,'RA9-Codisposal Upper'!$A$11:$BN$18,MATCH(Summary!AJ$1,'RA9-Codisposal Upper'!$A$9:$BN$9,1),FALSE),0)+IFERROR(VLOOKUP($B13,'RA10-Codisposal Slopes'!$A$11:$BN$18,MATCH(Summary!AJ$1,'RA10-Codisposal Slopes'!$A$9:$BN$9,1),FALSE),0)+IFERROR(VLOOKUP($B13,'IA1-Final Void inc Ramps'!$A$11:$BN$18,MATCH(Summary!AJ$1,'IA1-Final Void inc Ramps'!$A$9:$BN$9,1),FALSE),0)</f>
        <v>407.303</v>
      </c>
      <c r="AK13" s="51">
        <f>IFERROR(VLOOKUP($B13,'RA1- Elevated Dumps Upper'!$A$11:$BN$18,MATCH(Summary!AK$1,'RA1- Elevated Dumps Upper'!$A$9:$BN$9,1),FALSE),0)+IFERROR(VLOOKUP($B13,'RA2-Elevated Dumps Slopes'!$A$11:$BN$18,MATCH(Summary!AK$1,'RA2-Elevated Dumps Slopes'!$A$9:$BN$9,1),FALSE),0)+IFERROR(VLOOKUP($B13,'RA3-Backfilled Pits'!$A$11:$BN$18,MATCH(Summary!AK$1,'RA3-Backfilled Pits'!$A$9:$BN$9,1),FALSE),0)+IFERROR(VLOOKUP($B13,'RA4-Tracks_Roads'!$A$11:$BN$18,MATCH(Summary!AK$1,'RA4-Tracks_Roads'!$A$9:$BN$9,1),FALSE),0)+IFERROR(VLOOKUP($B13,'RA5-ROM'!$A$11:$BN$18,MATCH(Summary!AK$1,'RA5-ROM'!$A$9:$BN$9,1),FALSE),0)+IFERROR(VLOOKUP($B13,'RA6-CHPP'!$A$11:$BN$18,MATCH(Summary!AK$1,'RA6-CHPP'!$A$9:$BN$9,1),FALSE),0)+IFERROR(VLOOKUP($B13,'RA7-Mine Infrastructure Area'!$A$11:$BN$18,MATCH(Summary!AK$1,'RA7-Mine Infrastructure Area'!$A$9:$BN$9,1),FALSE),0)+IFERROR(VLOOKUP($B13,'RA8-Water Management Structures'!$A$11:$BN$18,MATCH(Summary!AK$1,'RA8-Water Management Structures'!$A$9:$BN$9,1),FALSE),0)+IFERROR(VLOOKUP($B13,'RA9-Codisposal Upper'!$A$11:$BN$18,MATCH(Summary!AK$1,'RA9-Codisposal Upper'!$A$9:$BN$9,1),FALSE),0)+IFERROR(VLOOKUP($B13,'RA10-Codisposal Slopes'!$A$11:$BN$18,MATCH(Summary!AK$1,'RA10-Codisposal Slopes'!$A$9:$BN$9,1),FALSE),0)+IFERROR(VLOOKUP($B13,'IA1-Final Void inc Ramps'!$A$11:$BN$18,MATCH(Summary!AK$1,'IA1-Final Void inc Ramps'!$A$9:$BN$9,1),FALSE),0)</f>
        <v>407.303</v>
      </c>
      <c r="AL13" s="51">
        <f>IFERROR(VLOOKUP($B13,'RA1- Elevated Dumps Upper'!$A$11:$BN$18,MATCH(Summary!AL$1,'RA1- Elevated Dumps Upper'!$A$9:$BN$9,1),FALSE),0)+IFERROR(VLOOKUP($B13,'RA2-Elevated Dumps Slopes'!$A$11:$BN$18,MATCH(Summary!AL$1,'RA2-Elevated Dumps Slopes'!$A$9:$BN$9,1),FALSE),0)+IFERROR(VLOOKUP($B13,'RA3-Backfilled Pits'!$A$11:$BN$18,MATCH(Summary!AL$1,'RA3-Backfilled Pits'!$A$9:$BN$9,1),FALSE),0)+IFERROR(VLOOKUP($B13,'RA4-Tracks_Roads'!$A$11:$BN$18,MATCH(Summary!AL$1,'RA4-Tracks_Roads'!$A$9:$BN$9,1),FALSE),0)+IFERROR(VLOOKUP($B13,'RA5-ROM'!$A$11:$BN$18,MATCH(Summary!AL$1,'RA5-ROM'!$A$9:$BN$9,1),FALSE),0)+IFERROR(VLOOKUP($B13,'RA6-CHPP'!$A$11:$BN$18,MATCH(Summary!AL$1,'RA6-CHPP'!$A$9:$BN$9,1),FALSE),0)+IFERROR(VLOOKUP($B13,'RA7-Mine Infrastructure Area'!$A$11:$BN$18,MATCH(Summary!AL$1,'RA7-Mine Infrastructure Area'!$A$9:$BN$9,1),FALSE),0)+IFERROR(VLOOKUP($B13,'RA8-Water Management Structures'!$A$11:$BN$18,MATCH(Summary!AL$1,'RA8-Water Management Structures'!$A$9:$BN$9,1),FALSE),0)+IFERROR(VLOOKUP($B13,'RA9-Codisposal Upper'!$A$11:$BN$18,MATCH(Summary!AL$1,'RA9-Codisposal Upper'!$A$9:$BN$9,1),FALSE),0)+IFERROR(VLOOKUP($B13,'RA10-Codisposal Slopes'!$A$11:$BN$18,MATCH(Summary!AL$1,'RA10-Codisposal Slopes'!$A$9:$BN$9,1),FALSE),0)+IFERROR(VLOOKUP($B13,'IA1-Final Void inc Ramps'!$A$11:$BN$18,MATCH(Summary!AL$1,'IA1-Final Void inc Ramps'!$A$9:$BN$9,1),FALSE),0)</f>
        <v>407.303</v>
      </c>
      <c r="AM13" s="51">
        <f>IFERROR(VLOOKUP($B13,'RA1- Elevated Dumps Upper'!$A$11:$BN$18,MATCH(Summary!AM$1,'RA1- Elevated Dumps Upper'!$A$9:$BN$9,1),FALSE),0)+IFERROR(VLOOKUP($B13,'RA2-Elevated Dumps Slopes'!$A$11:$BN$18,MATCH(Summary!AM$1,'RA2-Elevated Dumps Slopes'!$A$9:$BN$9,1),FALSE),0)+IFERROR(VLOOKUP($B13,'RA3-Backfilled Pits'!$A$11:$BN$18,MATCH(Summary!AM$1,'RA3-Backfilled Pits'!$A$9:$BN$9,1),FALSE),0)+IFERROR(VLOOKUP($B13,'RA4-Tracks_Roads'!$A$11:$BN$18,MATCH(Summary!AM$1,'RA4-Tracks_Roads'!$A$9:$BN$9,1),FALSE),0)+IFERROR(VLOOKUP($B13,'RA5-ROM'!$A$11:$BN$18,MATCH(Summary!AM$1,'RA5-ROM'!$A$9:$BN$9,1),FALSE),0)+IFERROR(VLOOKUP($B13,'RA6-CHPP'!$A$11:$BN$18,MATCH(Summary!AM$1,'RA6-CHPP'!$A$9:$BN$9,1),FALSE),0)+IFERROR(VLOOKUP($B13,'RA7-Mine Infrastructure Area'!$A$11:$BN$18,MATCH(Summary!AM$1,'RA7-Mine Infrastructure Area'!$A$9:$BN$9,1),FALSE),0)+IFERROR(VLOOKUP($B13,'RA8-Water Management Structures'!$A$11:$BN$18,MATCH(Summary!AM$1,'RA8-Water Management Structures'!$A$9:$BN$9,1),FALSE),0)+IFERROR(VLOOKUP($B13,'RA9-Codisposal Upper'!$A$11:$BN$18,MATCH(Summary!AM$1,'RA9-Codisposal Upper'!$A$9:$BN$9,1),FALSE),0)+IFERROR(VLOOKUP($B13,'RA10-Codisposal Slopes'!$A$11:$BN$18,MATCH(Summary!AM$1,'RA10-Codisposal Slopes'!$A$9:$BN$9,1),FALSE),0)+IFERROR(VLOOKUP($B13,'IA1-Final Void inc Ramps'!$A$11:$BN$18,MATCH(Summary!AM$1,'IA1-Final Void inc Ramps'!$A$9:$BN$9,1),FALSE),0)</f>
        <v>407.303</v>
      </c>
      <c r="AN13" s="51">
        <f>IFERROR(VLOOKUP($B13,'RA1- Elevated Dumps Upper'!$A$11:$BN$18,MATCH(Summary!AN$1,'RA1- Elevated Dumps Upper'!$A$9:$BN$9,1),FALSE),0)+IFERROR(VLOOKUP($B13,'RA2-Elevated Dumps Slopes'!$A$11:$BN$18,MATCH(Summary!AN$1,'RA2-Elevated Dumps Slopes'!$A$9:$BN$9,1),FALSE),0)+IFERROR(VLOOKUP($B13,'RA3-Backfilled Pits'!$A$11:$BN$18,MATCH(Summary!AN$1,'RA3-Backfilled Pits'!$A$9:$BN$9,1),FALSE),0)+IFERROR(VLOOKUP($B13,'RA4-Tracks_Roads'!$A$11:$BN$18,MATCH(Summary!AN$1,'RA4-Tracks_Roads'!$A$9:$BN$9,1),FALSE),0)+IFERROR(VLOOKUP($B13,'RA5-ROM'!$A$11:$BN$18,MATCH(Summary!AN$1,'RA5-ROM'!$A$9:$BN$9,1),FALSE),0)+IFERROR(VLOOKUP($B13,'RA6-CHPP'!$A$11:$BN$18,MATCH(Summary!AN$1,'RA6-CHPP'!$A$9:$BN$9,1),FALSE),0)+IFERROR(VLOOKUP($B13,'RA7-Mine Infrastructure Area'!$A$11:$BN$18,MATCH(Summary!AN$1,'RA7-Mine Infrastructure Area'!$A$9:$BN$9,1),FALSE),0)+IFERROR(VLOOKUP($B13,'RA8-Water Management Structures'!$A$11:$BN$18,MATCH(Summary!AN$1,'RA8-Water Management Structures'!$A$9:$BN$9,1),FALSE),0)+IFERROR(VLOOKUP($B13,'RA9-Codisposal Upper'!$A$11:$BN$18,MATCH(Summary!AN$1,'RA9-Codisposal Upper'!$A$9:$BN$9,1),FALSE),0)+IFERROR(VLOOKUP($B13,'RA10-Codisposal Slopes'!$A$11:$BN$18,MATCH(Summary!AN$1,'RA10-Codisposal Slopes'!$A$9:$BN$9,1),FALSE),0)+IFERROR(VLOOKUP($B13,'IA1-Final Void inc Ramps'!$A$11:$BN$18,MATCH(Summary!AN$1,'IA1-Final Void inc Ramps'!$A$9:$BN$9,1),FALSE),0)</f>
        <v>407.303</v>
      </c>
      <c r="AO13" s="51">
        <f>IFERROR(VLOOKUP($B13,'RA1- Elevated Dumps Upper'!$A$11:$BN$18,MATCH(Summary!AO$1,'RA1- Elevated Dumps Upper'!$A$9:$BN$9,1),FALSE),0)+IFERROR(VLOOKUP($B13,'RA2-Elevated Dumps Slopes'!$A$11:$BN$18,MATCH(Summary!AO$1,'RA2-Elevated Dumps Slopes'!$A$9:$BN$9,1),FALSE),0)+IFERROR(VLOOKUP($B13,'RA3-Backfilled Pits'!$A$11:$BN$18,MATCH(Summary!AO$1,'RA3-Backfilled Pits'!$A$9:$BN$9,1),FALSE),0)+IFERROR(VLOOKUP($B13,'RA4-Tracks_Roads'!$A$11:$BN$18,MATCH(Summary!AO$1,'RA4-Tracks_Roads'!$A$9:$BN$9,1),FALSE),0)+IFERROR(VLOOKUP($B13,'RA5-ROM'!$A$11:$BN$18,MATCH(Summary!AO$1,'RA5-ROM'!$A$9:$BN$9,1),FALSE),0)+IFERROR(VLOOKUP($B13,'RA6-CHPP'!$A$11:$BN$18,MATCH(Summary!AO$1,'RA6-CHPP'!$A$9:$BN$9,1),FALSE),0)+IFERROR(VLOOKUP($B13,'RA7-Mine Infrastructure Area'!$A$11:$BN$18,MATCH(Summary!AO$1,'RA7-Mine Infrastructure Area'!$A$9:$BN$9,1),FALSE),0)+IFERROR(VLOOKUP($B13,'RA8-Water Management Structures'!$A$11:$BN$18,MATCH(Summary!AO$1,'RA8-Water Management Structures'!$A$9:$BN$9,1),FALSE),0)+IFERROR(VLOOKUP($B13,'RA9-Codisposal Upper'!$A$11:$BN$18,MATCH(Summary!AO$1,'RA9-Codisposal Upper'!$A$9:$BN$9,1),FALSE),0)+IFERROR(VLOOKUP($B13,'RA10-Codisposal Slopes'!$A$11:$BN$18,MATCH(Summary!AO$1,'RA10-Codisposal Slopes'!$A$9:$BN$9,1),FALSE),0)+IFERROR(VLOOKUP($B13,'IA1-Final Void inc Ramps'!$A$11:$BN$18,MATCH(Summary!AO$1,'IA1-Final Void inc Ramps'!$A$9:$BN$9,1),FALSE),0)</f>
        <v>407.303</v>
      </c>
      <c r="AP13" s="51">
        <f>IFERROR(VLOOKUP($B13,'RA1- Elevated Dumps Upper'!$A$11:$BN$18,MATCH(Summary!AP$1,'RA1- Elevated Dumps Upper'!$A$9:$BN$9,1),FALSE),0)+IFERROR(VLOOKUP($B13,'RA2-Elevated Dumps Slopes'!$A$11:$BN$18,MATCH(Summary!AP$1,'RA2-Elevated Dumps Slopes'!$A$9:$BN$9,1),FALSE),0)+IFERROR(VLOOKUP($B13,'RA3-Backfilled Pits'!$A$11:$BN$18,MATCH(Summary!AP$1,'RA3-Backfilled Pits'!$A$9:$BN$9,1),FALSE),0)+IFERROR(VLOOKUP($B13,'RA4-Tracks_Roads'!$A$11:$BN$18,MATCH(Summary!AP$1,'RA4-Tracks_Roads'!$A$9:$BN$9,1),FALSE),0)+IFERROR(VLOOKUP($B13,'RA5-ROM'!$A$11:$BN$18,MATCH(Summary!AP$1,'RA5-ROM'!$A$9:$BN$9,1),FALSE),0)+IFERROR(VLOOKUP($B13,'RA6-CHPP'!$A$11:$BN$18,MATCH(Summary!AP$1,'RA6-CHPP'!$A$9:$BN$9,1),FALSE),0)+IFERROR(VLOOKUP($B13,'RA7-Mine Infrastructure Area'!$A$11:$BN$18,MATCH(Summary!AP$1,'RA7-Mine Infrastructure Area'!$A$9:$BN$9,1),FALSE),0)+IFERROR(VLOOKUP($B13,'RA8-Water Management Structures'!$A$11:$BN$18,MATCH(Summary!AP$1,'RA8-Water Management Structures'!$A$9:$BN$9,1),FALSE),0)+IFERROR(VLOOKUP($B13,'RA9-Codisposal Upper'!$A$11:$BN$18,MATCH(Summary!AP$1,'RA9-Codisposal Upper'!$A$9:$BN$9,1),FALSE),0)+IFERROR(VLOOKUP($B13,'RA10-Codisposal Slopes'!$A$11:$BN$18,MATCH(Summary!AP$1,'RA10-Codisposal Slopes'!$A$9:$BN$9,1),FALSE),0)+IFERROR(VLOOKUP($B13,'IA1-Final Void inc Ramps'!$A$11:$BN$18,MATCH(Summary!AP$1,'IA1-Final Void inc Ramps'!$A$9:$BN$9,1),FALSE),0)</f>
        <v>407.303</v>
      </c>
      <c r="AQ13" s="51">
        <f>IFERROR(VLOOKUP($B13,'RA1- Elevated Dumps Upper'!$A$11:$BN$18,MATCH(Summary!AQ$1,'RA1- Elevated Dumps Upper'!$A$9:$BN$9,1),FALSE),0)+IFERROR(VLOOKUP($B13,'RA2-Elevated Dumps Slopes'!$A$11:$BN$18,MATCH(Summary!AQ$1,'RA2-Elevated Dumps Slopes'!$A$9:$BN$9,1),FALSE),0)+IFERROR(VLOOKUP($B13,'RA3-Backfilled Pits'!$A$11:$BN$18,MATCH(Summary!AQ$1,'RA3-Backfilled Pits'!$A$9:$BN$9,1),FALSE),0)+IFERROR(VLOOKUP($B13,'RA4-Tracks_Roads'!$A$11:$BN$18,MATCH(Summary!AQ$1,'RA4-Tracks_Roads'!$A$9:$BN$9,1),FALSE),0)+IFERROR(VLOOKUP($B13,'RA5-ROM'!$A$11:$BN$18,MATCH(Summary!AQ$1,'RA5-ROM'!$A$9:$BN$9,1),FALSE),0)+IFERROR(VLOOKUP($B13,'RA6-CHPP'!$A$11:$BN$18,MATCH(Summary!AQ$1,'RA6-CHPP'!$A$9:$BN$9,1),FALSE),0)+IFERROR(VLOOKUP($B13,'RA7-Mine Infrastructure Area'!$A$11:$BN$18,MATCH(Summary!AQ$1,'RA7-Mine Infrastructure Area'!$A$9:$BN$9,1),FALSE),0)+IFERROR(VLOOKUP($B13,'RA8-Water Management Structures'!$A$11:$BN$18,MATCH(Summary!AQ$1,'RA8-Water Management Structures'!$A$9:$BN$9,1),FALSE),0)+IFERROR(VLOOKUP($B13,'RA9-Codisposal Upper'!$A$11:$BN$18,MATCH(Summary!AQ$1,'RA9-Codisposal Upper'!$A$9:$BN$9,1),FALSE),0)+IFERROR(VLOOKUP($B13,'RA10-Codisposal Slopes'!$A$11:$BN$18,MATCH(Summary!AQ$1,'RA10-Codisposal Slopes'!$A$9:$BN$9,1),FALSE),0)+IFERROR(VLOOKUP($B13,'IA1-Final Void inc Ramps'!$A$11:$BN$18,MATCH(Summary!AQ$1,'IA1-Final Void inc Ramps'!$A$9:$BN$9,1),FALSE),0)</f>
        <v>407.303</v>
      </c>
      <c r="AR13" s="51">
        <f>IFERROR(VLOOKUP($B13,'RA1- Elevated Dumps Upper'!$A$11:$BN$18,MATCH(Summary!AR$1,'RA1- Elevated Dumps Upper'!$A$9:$BN$9,1),FALSE),0)+IFERROR(VLOOKUP($B13,'RA2-Elevated Dumps Slopes'!$A$11:$BN$18,MATCH(Summary!AR$1,'RA2-Elevated Dumps Slopes'!$A$9:$BN$9,1),FALSE),0)+IFERROR(VLOOKUP($B13,'RA3-Backfilled Pits'!$A$11:$BN$18,MATCH(Summary!AR$1,'RA3-Backfilled Pits'!$A$9:$BN$9,1),FALSE),0)+IFERROR(VLOOKUP($B13,'RA4-Tracks_Roads'!$A$11:$BN$18,MATCH(Summary!AR$1,'RA4-Tracks_Roads'!$A$9:$BN$9,1),FALSE),0)+IFERROR(VLOOKUP($B13,'RA5-ROM'!$A$11:$BN$18,MATCH(Summary!AR$1,'RA5-ROM'!$A$9:$BN$9,1),FALSE),0)+IFERROR(VLOOKUP($B13,'RA6-CHPP'!$A$11:$BN$18,MATCH(Summary!AR$1,'RA6-CHPP'!$A$9:$BN$9,1),FALSE),0)+IFERROR(VLOOKUP($B13,'RA7-Mine Infrastructure Area'!$A$11:$BN$18,MATCH(Summary!AR$1,'RA7-Mine Infrastructure Area'!$A$9:$BN$9,1),FALSE),0)+IFERROR(VLOOKUP($B13,'RA8-Water Management Structures'!$A$11:$BN$18,MATCH(Summary!AR$1,'RA8-Water Management Structures'!$A$9:$BN$9,1),FALSE),0)+IFERROR(VLOOKUP($B13,'RA9-Codisposal Upper'!$A$11:$BN$18,MATCH(Summary!AR$1,'RA9-Codisposal Upper'!$A$9:$BN$9,1),FALSE),0)+IFERROR(VLOOKUP($B13,'RA10-Codisposal Slopes'!$A$11:$BN$18,MATCH(Summary!AR$1,'RA10-Codisposal Slopes'!$A$9:$BN$9,1),FALSE),0)+IFERROR(VLOOKUP($B13,'IA1-Final Void inc Ramps'!$A$11:$BN$18,MATCH(Summary!AR$1,'IA1-Final Void inc Ramps'!$A$9:$BN$9,1),FALSE),0)</f>
        <v>407.303</v>
      </c>
      <c r="AS13" s="51">
        <f>IFERROR(VLOOKUP($B13,'RA1- Elevated Dumps Upper'!$A$11:$BN$18,MATCH(Summary!AS$1,'RA1- Elevated Dumps Upper'!$A$9:$BN$9,1),FALSE),0)+IFERROR(VLOOKUP($B13,'RA2-Elevated Dumps Slopes'!$A$11:$BN$18,MATCH(Summary!AS$1,'RA2-Elevated Dumps Slopes'!$A$9:$BN$9,1),FALSE),0)+IFERROR(VLOOKUP($B13,'RA3-Backfilled Pits'!$A$11:$BN$18,MATCH(Summary!AS$1,'RA3-Backfilled Pits'!$A$9:$BN$9,1),FALSE),0)+IFERROR(VLOOKUP($B13,'RA4-Tracks_Roads'!$A$11:$BN$18,MATCH(Summary!AS$1,'RA4-Tracks_Roads'!$A$9:$BN$9,1),FALSE),0)+IFERROR(VLOOKUP($B13,'RA5-ROM'!$A$11:$BN$18,MATCH(Summary!AS$1,'RA5-ROM'!$A$9:$BN$9,1),FALSE),0)+IFERROR(VLOOKUP($B13,'RA6-CHPP'!$A$11:$BN$18,MATCH(Summary!AS$1,'RA6-CHPP'!$A$9:$BN$9,1),FALSE),0)+IFERROR(VLOOKUP($B13,'RA7-Mine Infrastructure Area'!$A$11:$BN$18,MATCH(Summary!AS$1,'RA7-Mine Infrastructure Area'!$A$9:$BN$9,1),FALSE),0)+IFERROR(VLOOKUP($B13,'RA8-Water Management Structures'!$A$11:$BN$18,MATCH(Summary!AS$1,'RA8-Water Management Structures'!$A$9:$BN$9,1),FALSE),0)+IFERROR(VLOOKUP($B13,'RA9-Codisposal Upper'!$A$11:$BN$18,MATCH(Summary!AS$1,'RA9-Codisposal Upper'!$A$9:$BN$9,1),FALSE),0)+IFERROR(VLOOKUP($B13,'RA10-Codisposal Slopes'!$A$11:$BN$18,MATCH(Summary!AS$1,'RA10-Codisposal Slopes'!$A$9:$BN$9,1),FALSE),0)+IFERROR(VLOOKUP($B13,'IA1-Final Void inc Ramps'!$A$11:$BN$18,MATCH(Summary!AS$1,'IA1-Final Void inc Ramps'!$A$9:$BN$9,1),FALSE),0)</f>
        <v>407.303</v>
      </c>
      <c r="AT13" s="51">
        <f>IFERROR(VLOOKUP($B13,'RA1- Elevated Dumps Upper'!$A$11:$BN$18,MATCH(Summary!AT$1,'RA1- Elevated Dumps Upper'!$A$9:$BN$9,1),FALSE),0)+IFERROR(VLOOKUP($B13,'RA2-Elevated Dumps Slopes'!$A$11:$BN$18,MATCH(Summary!AT$1,'RA2-Elevated Dumps Slopes'!$A$9:$BN$9,1),FALSE),0)+IFERROR(VLOOKUP($B13,'RA3-Backfilled Pits'!$A$11:$BN$18,MATCH(Summary!AT$1,'RA3-Backfilled Pits'!$A$9:$BN$9,1),FALSE),0)+IFERROR(VLOOKUP($B13,'RA4-Tracks_Roads'!$A$11:$BN$18,MATCH(Summary!AT$1,'RA4-Tracks_Roads'!$A$9:$BN$9,1),FALSE),0)+IFERROR(VLOOKUP($B13,'RA5-ROM'!$A$11:$BN$18,MATCH(Summary!AT$1,'RA5-ROM'!$A$9:$BN$9,1),FALSE),0)+IFERROR(VLOOKUP($B13,'RA6-CHPP'!$A$11:$BN$18,MATCH(Summary!AT$1,'RA6-CHPP'!$A$9:$BN$9,1),FALSE),0)+IFERROR(VLOOKUP($B13,'RA7-Mine Infrastructure Area'!$A$11:$BN$18,MATCH(Summary!AT$1,'RA7-Mine Infrastructure Area'!$A$9:$BN$9,1),FALSE),0)+IFERROR(VLOOKUP($B13,'RA8-Water Management Structures'!$A$11:$BN$18,MATCH(Summary!AT$1,'RA8-Water Management Structures'!$A$9:$BN$9,1),FALSE),0)+IFERROR(VLOOKUP($B13,'RA9-Codisposal Upper'!$A$11:$BN$18,MATCH(Summary!AT$1,'RA9-Codisposal Upper'!$A$9:$BN$9,1),FALSE),0)+IFERROR(VLOOKUP($B13,'RA10-Codisposal Slopes'!$A$11:$BN$18,MATCH(Summary!AT$1,'RA10-Codisposal Slopes'!$A$9:$BN$9,1),FALSE),0)+IFERROR(VLOOKUP($B13,'IA1-Final Void inc Ramps'!$A$11:$BN$18,MATCH(Summary!AT$1,'IA1-Final Void inc Ramps'!$A$9:$BN$9,1),FALSE),0)</f>
        <v>407.303</v>
      </c>
      <c r="AU13" s="51">
        <f>IFERROR(VLOOKUP($B13,'RA1- Elevated Dumps Upper'!$A$11:$BN$18,MATCH(Summary!AU$1,'RA1- Elevated Dumps Upper'!$A$9:$BN$9,1),FALSE),0)+IFERROR(VLOOKUP($B13,'RA2-Elevated Dumps Slopes'!$A$11:$BN$18,MATCH(Summary!AU$1,'RA2-Elevated Dumps Slopes'!$A$9:$BN$9,1),FALSE),0)+IFERROR(VLOOKUP($B13,'RA3-Backfilled Pits'!$A$11:$BN$18,MATCH(Summary!AU$1,'RA3-Backfilled Pits'!$A$9:$BN$9,1),FALSE),0)+IFERROR(VLOOKUP($B13,'RA4-Tracks_Roads'!$A$11:$BN$18,MATCH(Summary!AU$1,'RA4-Tracks_Roads'!$A$9:$BN$9,1),FALSE),0)+IFERROR(VLOOKUP($B13,'RA5-ROM'!$A$11:$BN$18,MATCH(Summary!AU$1,'RA5-ROM'!$A$9:$BN$9,1),FALSE),0)+IFERROR(VLOOKUP($B13,'RA6-CHPP'!$A$11:$BN$18,MATCH(Summary!AU$1,'RA6-CHPP'!$A$9:$BN$9,1),FALSE),0)+IFERROR(VLOOKUP($B13,'RA7-Mine Infrastructure Area'!$A$11:$BN$18,MATCH(Summary!AU$1,'RA7-Mine Infrastructure Area'!$A$9:$BN$9,1),FALSE),0)+IFERROR(VLOOKUP($B13,'RA8-Water Management Structures'!$A$11:$BN$18,MATCH(Summary!AU$1,'RA8-Water Management Structures'!$A$9:$BN$9,1),FALSE),0)+IFERROR(VLOOKUP($B13,'RA9-Codisposal Upper'!$A$11:$BN$18,MATCH(Summary!AU$1,'RA9-Codisposal Upper'!$A$9:$BN$9,1),FALSE),0)+IFERROR(VLOOKUP($B13,'RA10-Codisposal Slopes'!$A$11:$BN$18,MATCH(Summary!AU$1,'RA10-Codisposal Slopes'!$A$9:$BN$9,1),FALSE),0)+IFERROR(VLOOKUP($B13,'IA1-Final Void inc Ramps'!$A$11:$BN$18,MATCH(Summary!AU$1,'IA1-Final Void inc Ramps'!$A$9:$BN$9,1),FALSE),0)</f>
        <v>407.303</v>
      </c>
      <c r="AV13" s="51">
        <f>IFERROR(VLOOKUP($B13,'RA1- Elevated Dumps Upper'!$A$11:$BN$18,MATCH(Summary!AV$1,'RA1- Elevated Dumps Upper'!$A$9:$BN$9,1),FALSE),0)+IFERROR(VLOOKUP($B13,'RA2-Elevated Dumps Slopes'!$A$11:$BN$18,MATCH(Summary!AV$1,'RA2-Elevated Dumps Slopes'!$A$9:$BN$9,1),FALSE),0)+IFERROR(VLOOKUP($B13,'RA3-Backfilled Pits'!$A$11:$BN$18,MATCH(Summary!AV$1,'RA3-Backfilled Pits'!$A$9:$BN$9,1),FALSE),0)+IFERROR(VLOOKUP($B13,'RA4-Tracks_Roads'!$A$11:$BN$18,MATCH(Summary!AV$1,'RA4-Tracks_Roads'!$A$9:$BN$9,1),FALSE),0)+IFERROR(VLOOKUP($B13,'RA5-ROM'!$A$11:$BN$18,MATCH(Summary!AV$1,'RA5-ROM'!$A$9:$BN$9,1),FALSE),0)+IFERROR(VLOOKUP($B13,'RA6-CHPP'!$A$11:$BN$18,MATCH(Summary!AV$1,'RA6-CHPP'!$A$9:$BN$9,1),FALSE),0)+IFERROR(VLOOKUP($B13,'RA7-Mine Infrastructure Area'!$A$11:$BN$18,MATCH(Summary!AV$1,'RA7-Mine Infrastructure Area'!$A$9:$BN$9,1),FALSE),0)+IFERROR(VLOOKUP($B13,'RA8-Water Management Structures'!$A$11:$BN$18,MATCH(Summary!AV$1,'RA8-Water Management Structures'!$A$9:$BN$9,1),FALSE),0)+IFERROR(VLOOKUP($B13,'RA9-Codisposal Upper'!$A$11:$BN$18,MATCH(Summary!AV$1,'RA9-Codisposal Upper'!$A$9:$BN$9,1),FALSE),0)+IFERROR(VLOOKUP($B13,'RA10-Codisposal Slopes'!$A$11:$BN$18,MATCH(Summary!AV$1,'RA10-Codisposal Slopes'!$A$9:$BN$9,1),FALSE),0)+IFERROR(VLOOKUP($B13,'IA1-Final Void inc Ramps'!$A$11:$BN$18,MATCH(Summary!AV$1,'IA1-Final Void inc Ramps'!$A$9:$BN$9,1),FALSE),0)</f>
        <v>407.303</v>
      </c>
      <c r="AW13" s="51">
        <f>IFERROR(VLOOKUP($B13,'RA1- Elevated Dumps Upper'!$A$11:$BN$18,MATCH(Summary!AW$1,'RA1- Elevated Dumps Upper'!$A$9:$BN$9,1),FALSE),0)+IFERROR(VLOOKUP($B13,'RA2-Elevated Dumps Slopes'!$A$11:$BN$18,MATCH(Summary!AW$1,'RA2-Elevated Dumps Slopes'!$A$9:$BN$9,1),FALSE),0)+IFERROR(VLOOKUP($B13,'RA3-Backfilled Pits'!$A$11:$BN$18,MATCH(Summary!AW$1,'RA3-Backfilled Pits'!$A$9:$BN$9,1),FALSE),0)+IFERROR(VLOOKUP($B13,'RA4-Tracks_Roads'!$A$11:$BN$18,MATCH(Summary!AW$1,'RA4-Tracks_Roads'!$A$9:$BN$9,1),FALSE),0)+IFERROR(VLOOKUP($B13,'RA5-ROM'!$A$11:$BN$18,MATCH(Summary!AW$1,'RA5-ROM'!$A$9:$BN$9,1),FALSE),0)+IFERROR(VLOOKUP($B13,'RA6-CHPP'!$A$11:$BN$18,MATCH(Summary!AW$1,'RA6-CHPP'!$A$9:$BN$9,1),FALSE),0)+IFERROR(VLOOKUP($B13,'RA7-Mine Infrastructure Area'!$A$11:$BN$18,MATCH(Summary!AW$1,'RA7-Mine Infrastructure Area'!$A$9:$BN$9,1),FALSE),0)+IFERROR(VLOOKUP($B13,'RA8-Water Management Structures'!$A$11:$BN$18,MATCH(Summary!AW$1,'RA8-Water Management Structures'!$A$9:$BN$9,1),FALSE),0)+IFERROR(VLOOKUP($B13,'RA9-Codisposal Upper'!$A$11:$BN$18,MATCH(Summary!AW$1,'RA9-Codisposal Upper'!$A$9:$BN$9,1),FALSE),0)+IFERROR(VLOOKUP($B13,'RA10-Codisposal Slopes'!$A$11:$BN$18,MATCH(Summary!AW$1,'RA10-Codisposal Slopes'!$A$9:$BN$9,1),FALSE),0)+IFERROR(VLOOKUP($B13,'IA1-Final Void inc Ramps'!$A$11:$BN$18,MATCH(Summary!AW$1,'IA1-Final Void inc Ramps'!$A$9:$BN$9,1),FALSE),0)</f>
        <v>407.303</v>
      </c>
      <c r="AX13" s="51">
        <f>IFERROR(VLOOKUP($B13,'RA1- Elevated Dumps Upper'!$A$11:$BN$18,MATCH(Summary!AX$1,'RA1- Elevated Dumps Upper'!$A$9:$BN$9,1),FALSE),0)+IFERROR(VLOOKUP($B13,'RA2-Elevated Dumps Slopes'!$A$11:$BN$18,MATCH(Summary!AX$1,'RA2-Elevated Dumps Slopes'!$A$9:$BN$9,1),FALSE),0)+IFERROR(VLOOKUP($B13,'RA3-Backfilled Pits'!$A$11:$BN$18,MATCH(Summary!AX$1,'RA3-Backfilled Pits'!$A$9:$BN$9,1),FALSE),0)+IFERROR(VLOOKUP($B13,'RA4-Tracks_Roads'!$A$11:$BN$18,MATCH(Summary!AX$1,'RA4-Tracks_Roads'!$A$9:$BN$9,1),FALSE),0)+IFERROR(VLOOKUP($B13,'RA5-ROM'!$A$11:$BN$18,MATCH(Summary!AX$1,'RA5-ROM'!$A$9:$BN$9,1),FALSE),0)+IFERROR(VLOOKUP($B13,'RA6-CHPP'!$A$11:$BN$18,MATCH(Summary!AX$1,'RA6-CHPP'!$A$9:$BN$9,1),FALSE),0)+IFERROR(VLOOKUP($B13,'RA7-Mine Infrastructure Area'!$A$11:$BN$18,MATCH(Summary!AX$1,'RA7-Mine Infrastructure Area'!$A$9:$BN$9,1),FALSE),0)+IFERROR(VLOOKUP($B13,'RA8-Water Management Structures'!$A$11:$BN$18,MATCH(Summary!AX$1,'RA8-Water Management Structures'!$A$9:$BN$9,1),FALSE),0)+IFERROR(VLOOKUP($B13,'RA9-Codisposal Upper'!$A$11:$BN$18,MATCH(Summary!AX$1,'RA9-Codisposal Upper'!$A$9:$BN$9,1),FALSE),0)+IFERROR(VLOOKUP($B13,'RA10-Codisposal Slopes'!$A$11:$BN$18,MATCH(Summary!AX$1,'RA10-Codisposal Slopes'!$A$9:$BN$9,1),FALSE),0)+IFERROR(VLOOKUP($B13,'IA1-Final Void inc Ramps'!$A$11:$BN$18,MATCH(Summary!AX$1,'IA1-Final Void inc Ramps'!$A$9:$BN$9,1),FALSE),0)</f>
        <v>407.303</v>
      </c>
      <c r="AY13" s="51">
        <f>IFERROR(VLOOKUP($B13,'RA1- Elevated Dumps Upper'!$A$11:$BN$18,MATCH(Summary!AY$1,'RA1- Elevated Dumps Upper'!$A$9:$BN$9,1),FALSE),0)+IFERROR(VLOOKUP($B13,'RA2-Elevated Dumps Slopes'!$A$11:$BN$18,MATCH(Summary!AY$1,'RA2-Elevated Dumps Slopes'!$A$9:$BN$9,1),FALSE),0)+IFERROR(VLOOKUP($B13,'RA3-Backfilled Pits'!$A$11:$BN$18,MATCH(Summary!AY$1,'RA3-Backfilled Pits'!$A$9:$BN$9,1),FALSE),0)+IFERROR(VLOOKUP($B13,'RA4-Tracks_Roads'!$A$11:$BN$18,MATCH(Summary!AY$1,'RA4-Tracks_Roads'!$A$9:$BN$9,1),FALSE),0)+IFERROR(VLOOKUP($B13,'RA5-ROM'!$A$11:$BN$18,MATCH(Summary!AY$1,'RA5-ROM'!$A$9:$BN$9,1),FALSE),0)+IFERROR(VLOOKUP($B13,'RA6-CHPP'!$A$11:$BN$18,MATCH(Summary!AY$1,'RA6-CHPP'!$A$9:$BN$9,1),FALSE),0)+IFERROR(VLOOKUP($B13,'RA7-Mine Infrastructure Area'!$A$11:$BN$18,MATCH(Summary!AY$1,'RA7-Mine Infrastructure Area'!$A$9:$BN$9,1),FALSE),0)+IFERROR(VLOOKUP($B13,'RA8-Water Management Structures'!$A$11:$BN$18,MATCH(Summary!AY$1,'RA8-Water Management Structures'!$A$9:$BN$9,1),FALSE),0)+IFERROR(VLOOKUP($B13,'RA9-Codisposal Upper'!$A$11:$BN$18,MATCH(Summary!AY$1,'RA9-Codisposal Upper'!$A$9:$BN$9,1),FALSE),0)+IFERROR(VLOOKUP($B13,'RA10-Codisposal Slopes'!$A$11:$BN$18,MATCH(Summary!AY$1,'RA10-Codisposal Slopes'!$A$9:$BN$9,1),FALSE),0)+IFERROR(VLOOKUP($B13,'IA1-Final Void inc Ramps'!$A$11:$BN$18,MATCH(Summary!AY$1,'IA1-Final Void inc Ramps'!$A$9:$BN$9,1),FALSE),0)</f>
        <v>407.303</v>
      </c>
      <c r="AZ13" s="51">
        <f>IFERROR(VLOOKUP($B13,'RA1- Elevated Dumps Upper'!$A$11:$BN$18,MATCH(Summary!AZ$1,'RA1- Elevated Dumps Upper'!$A$9:$BN$9,1),FALSE),0)+IFERROR(VLOOKUP($B13,'RA2-Elevated Dumps Slopes'!$A$11:$BN$18,MATCH(Summary!AZ$1,'RA2-Elevated Dumps Slopes'!$A$9:$BN$9,1),FALSE),0)+IFERROR(VLOOKUP($B13,'RA3-Backfilled Pits'!$A$11:$BN$18,MATCH(Summary!AZ$1,'RA3-Backfilled Pits'!$A$9:$BN$9,1),FALSE),0)+IFERROR(VLOOKUP($B13,'RA4-Tracks_Roads'!$A$11:$BN$18,MATCH(Summary!AZ$1,'RA4-Tracks_Roads'!$A$9:$BN$9,1),FALSE),0)+IFERROR(VLOOKUP($B13,'RA5-ROM'!$A$11:$BN$18,MATCH(Summary!AZ$1,'RA5-ROM'!$A$9:$BN$9,1),FALSE),0)+IFERROR(VLOOKUP($B13,'RA6-CHPP'!$A$11:$BN$18,MATCH(Summary!AZ$1,'RA6-CHPP'!$A$9:$BN$9,1),FALSE),0)+IFERROR(VLOOKUP($B13,'RA7-Mine Infrastructure Area'!$A$11:$BN$18,MATCH(Summary!AZ$1,'RA7-Mine Infrastructure Area'!$A$9:$BN$9,1),FALSE),0)+IFERROR(VLOOKUP($B13,'RA8-Water Management Structures'!$A$11:$BN$18,MATCH(Summary!AZ$1,'RA8-Water Management Structures'!$A$9:$BN$9,1),FALSE),0)+IFERROR(VLOOKUP($B13,'RA9-Codisposal Upper'!$A$11:$BN$18,MATCH(Summary!AZ$1,'RA9-Codisposal Upper'!$A$9:$BN$9,1),FALSE),0)+IFERROR(VLOOKUP($B13,'RA10-Codisposal Slopes'!$A$11:$BN$18,MATCH(Summary!AZ$1,'RA10-Codisposal Slopes'!$A$9:$BN$9,1),FALSE),0)+IFERROR(VLOOKUP($B13,'IA1-Final Void inc Ramps'!$A$11:$BN$18,MATCH(Summary!AZ$1,'IA1-Final Void inc Ramps'!$A$9:$BN$9,1),FALSE),0)</f>
        <v>407.303</v>
      </c>
      <c r="BA13" s="51">
        <f>IFERROR(VLOOKUP($B13,'RA1- Elevated Dumps Upper'!$A$11:$BN$18,MATCH(Summary!BA$1,'RA1- Elevated Dumps Upper'!$A$9:$BN$9,1),FALSE),0)+IFERROR(VLOOKUP($B13,'RA2-Elevated Dumps Slopes'!$A$11:$BN$18,MATCH(Summary!BA$1,'RA2-Elevated Dumps Slopes'!$A$9:$BN$9,1),FALSE),0)+IFERROR(VLOOKUP($B13,'RA3-Backfilled Pits'!$A$11:$BN$18,MATCH(Summary!BA$1,'RA3-Backfilled Pits'!$A$9:$BN$9,1),FALSE),0)+IFERROR(VLOOKUP($B13,'RA4-Tracks_Roads'!$A$11:$BN$18,MATCH(Summary!BA$1,'RA4-Tracks_Roads'!$A$9:$BN$9,1),FALSE),0)+IFERROR(VLOOKUP($B13,'RA5-ROM'!$A$11:$BN$18,MATCH(Summary!BA$1,'RA5-ROM'!$A$9:$BN$9,1),FALSE),0)+IFERROR(VLOOKUP($B13,'RA6-CHPP'!$A$11:$BN$18,MATCH(Summary!BA$1,'RA6-CHPP'!$A$9:$BN$9,1),FALSE),0)+IFERROR(VLOOKUP($B13,'RA7-Mine Infrastructure Area'!$A$11:$BN$18,MATCH(Summary!BA$1,'RA7-Mine Infrastructure Area'!$A$9:$BN$9,1),FALSE),0)+IFERROR(VLOOKUP($B13,'RA8-Water Management Structures'!$A$11:$BN$18,MATCH(Summary!BA$1,'RA8-Water Management Structures'!$A$9:$BN$9,1),FALSE),0)+IFERROR(VLOOKUP($B13,'RA9-Codisposal Upper'!$A$11:$BN$18,MATCH(Summary!BA$1,'RA9-Codisposal Upper'!$A$9:$BN$9,1),FALSE),0)+IFERROR(VLOOKUP($B13,'RA10-Codisposal Slopes'!$A$11:$BN$18,MATCH(Summary!BA$1,'RA10-Codisposal Slopes'!$A$9:$BN$9,1),FALSE),0)+IFERROR(VLOOKUP($B13,'IA1-Final Void inc Ramps'!$A$11:$BN$18,MATCH(Summary!BA$1,'IA1-Final Void inc Ramps'!$A$9:$BN$9,1),FALSE),0)</f>
        <v>407.303</v>
      </c>
      <c r="BB13" s="51">
        <f>IFERROR(VLOOKUP($B13,'RA1- Elevated Dumps Upper'!$A$11:$BN$18,MATCH(Summary!BB$1,'RA1- Elevated Dumps Upper'!$A$9:$BN$9,1),FALSE),0)+IFERROR(VLOOKUP($B13,'RA2-Elevated Dumps Slopes'!$A$11:$BN$18,MATCH(Summary!BB$1,'RA2-Elevated Dumps Slopes'!$A$9:$BN$9,1),FALSE),0)+IFERROR(VLOOKUP($B13,'RA3-Backfilled Pits'!$A$11:$BN$18,MATCH(Summary!BB$1,'RA3-Backfilled Pits'!$A$9:$BN$9,1),FALSE),0)+IFERROR(VLOOKUP($B13,'RA4-Tracks_Roads'!$A$11:$BN$18,MATCH(Summary!BB$1,'RA4-Tracks_Roads'!$A$9:$BN$9,1),FALSE),0)+IFERROR(VLOOKUP($B13,'RA5-ROM'!$A$11:$BN$18,MATCH(Summary!BB$1,'RA5-ROM'!$A$9:$BN$9,1),FALSE),0)+IFERROR(VLOOKUP($B13,'RA6-CHPP'!$A$11:$BN$18,MATCH(Summary!BB$1,'RA6-CHPP'!$A$9:$BN$9,1),FALSE),0)+IFERROR(VLOOKUP($B13,'RA7-Mine Infrastructure Area'!$A$11:$BN$18,MATCH(Summary!BB$1,'RA7-Mine Infrastructure Area'!$A$9:$BN$9,1),FALSE),0)+IFERROR(VLOOKUP($B13,'RA8-Water Management Structures'!$A$11:$BN$18,MATCH(Summary!BB$1,'RA8-Water Management Structures'!$A$9:$BN$9,1),FALSE),0)+IFERROR(VLOOKUP($B13,'RA9-Codisposal Upper'!$A$11:$BN$18,MATCH(Summary!BB$1,'RA9-Codisposal Upper'!$A$9:$BN$9,1),FALSE),0)+IFERROR(VLOOKUP($B13,'RA10-Codisposal Slopes'!$A$11:$BN$18,MATCH(Summary!BB$1,'RA10-Codisposal Slopes'!$A$9:$BN$9,1),FALSE),0)+IFERROR(VLOOKUP($B13,'IA1-Final Void inc Ramps'!$A$11:$BN$18,MATCH(Summary!BB$1,'IA1-Final Void inc Ramps'!$A$9:$BN$9,1),FALSE),0)</f>
        <v>407.303</v>
      </c>
      <c r="BC13" s="51">
        <f>IFERROR(VLOOKUP($B13,'RA1- Elevated Dumps Upper'!$A$11:$BN$18,MATCH(Summary!BC$1,'RA1- Elevated Dumps Upper'!$A$9:$BN$9,1),FALSE),0)+IFERROR(VLOOKUP($B13,'RA2-Elevated Dumps Slopes'!$A$11:$BN$18,MATCH(Summary!BC$1,'RA2-Elevated Dumps Slopes'!$A$9:$BN$9,1),FALSE),0)+IFERROR(VLOOKUP($B13,'RA3-Backfilled Pits'!$A$11:$BN$18,MATCH(Summary!BC$1,'RA3-Backfilled Pits'!$A$9:$BN$9,1),FALSE),0)+IFERROR(VLOOKUP($B13,'RA4-Tracks_Roads'!$A$11:$BN$18,MATCH(Summary!BC$1,'RA4-Tracks_Roads'!$A$9:$BN$9,1),FALSE),0)+IFERROR(VLOOKUP($B13,'RA5-ROM'!$A$11:$BN$18,MATCH(Summary!BC$1,'RA5-ROM'!$A$9:$BN$9,1),FALSE),0)+IFERROR(VLOOKUP($B13,'RA6-CHPP'!$A$11:$BN$18,MATCH(Summary!BC$1,'RA6-CHPP'!$A$9:$BN$9,1),FALSE),0)+IFERROR(VLOOKUP($B13,'RA7-Mine Infrastructure Area'!$A$11:$BN$18,MATCH(Summary!BC$1,'RA7-Mine Infrastructure Area'!$A$9:$BN$9,1),FALSE),0)+IFERROR(VLOOKUP($B13,'RA8-Water Management Structures'!$A$11:$BN$18,MATCH(Summary!BC$1,'RA8-Water Management Structures'!$A$9:$BN$9,1),FALSE),0)+IFERROR(VLOOKUP($B13,'RA9-Codisposal Upper'!$A$11:$BN$18,MATCH(Summary!BC$1,'RA9-Codisposal Upper'!$A$9:$BN$9,1),FALSE),0)+IFERROR(VLOOKUP($B13,'RA10-Codisposal Slopes'!$A$11:$BN$18,MATCH(Summary!BC$1,'RA10-Codisposal Slopes'!$A$9:$BN$9,1),FALSE),0)+IFERROR(VLOOKUP($B13,'IA1-Final Void inc Ramps'!$A$11:$BN$18,MATCH(Summary!BC$1,'IA1-Final Void inc Ramps'!$A$9:$BN$9,1),FALSE),0)</f>
        <v>407.303</v>
      </c>
      <c r="BD13" s="51">
        <f>IFERROR(VLOOKUP($B13,'RA1- Elevated Dumps Upper'!$A$11:$BN$18,MATCH(Summary!BD$1,'RA1- Elevated Dumps Upper'!$A$9:$BN$9,1),FALSE),0)+IFERROR(VLOOKUP($B13,'RA2-Elevated Dumps Slopes'!$A$11:$BN$18,MATCH(Summary!BD$1,'RA2-Elevated Dumps Slopes'!$A$9:$BN$9,1),FALSE),0)+IFERROR(VLOOKUP($B13,'RA3-Backfilled Pits'!$A$11:$BN$18,MATCH(Summary!BD$1,'RA3-Backfilled Pits'!$A$9:$BN$9,1),FALSE),0)+IFERROR(VLOOKUP($B13,'RA4-Tracks_Roads'!$A$11:$BN$18,MATCH(Summary!BD$1,'RA4-Tracks_Roads'!$A$9:$BN$9,1),FALSE),0)+IFERROR(VLOOKUP($B13,'RA5-ROM'!$A$11:$BN$18,MATCH(Summary!BD$1,'RA5-ROM'!$A$9:$BN$9,1),FALSE),0)+IFERROR(VLOOKUP($B13,'RA6-CHPP'!$A$11:$BN$18,MATCH(Summary!BD$1,'RA6-CHPP'!$A$9:$BN$9,1),FALSE),0)+IFERROR(VLOOKUP($B13,'RA7-Mine Infrastructure Area'!$A$11:$BN$18,MATCH(Summary!BD$1,'RA7-Mine Infrastructure Area'!$A$9:$BN$9,1),FALSE),0)+IFERROR(VLOOKUP($B13,'RA8-Water Management Structures'!$A$11:$BN$18,MATCH(Summary!BD$1,'RA8-Water Management Structures'!$A$9:$BN$9,1),FALSE),0)+IFERROR(VLOOKUP($B13,'RA9-Codisposal Upper'!$A$11:$BN$18,MATCH(Summary!BD$1,'RA9-Codisposal Upper'!$A$9:$BN$9,1),FALSE),0)+IFERROR(VLOOKUP($B13,'RA10-Codisposal Slopes'!$A$11:$BN$18,MATCH(Summary!BD$1,'RA10-Codisposal Slopes'!$A$9:$BN$9,1),FALSE),0)+IFERROR(VLOOKUP($B13,'IA1-Final Void inc Ramps'!$A$11:$BN$18,MATCH(Summary!BD$1,'IA1-Final Void inc Ramps'!$A$9:$BN$9,1),FALSE),0)</f>
        <v>407.303</v>
      </c>
      <c r="BE13" s="51">
        <f>IFERROR(VLOOKUP($B13,'RA1- Elevated Dumps Upper'!$A$11:$BN$18,MATCH(Summary!BE$1,'RA1- Elevated Dumps Upper'!$A$9:$BN$9,1),FALSE),0)+IFERROR(VLOOKUP($B13,'RA2-Elevated Dumps Slopes'!$A$11:$BN$18,MATCH(Summary!BE$1,'RA2-Elevated Dumps Slopes'!$A$9:$BN$9,1),FALSE),0)+IFERROR(VLOOKUP($B13,'RA3-Backfilled Pits'!$A$11:$BN$18,MATCH(Summary!BE$1,'RA3-Backfilled Pits'!$A$9:$BN$9,1),FALSE),0)+IFERROR(VLOOKUP($B13,'RA4-Tracks_Roads'!$A$11:$BN$18,MATCH(Summary!BE$1,'RA4-Tracks_Roads'!$A$9:$BN$9,1),FALSE),0)+IFERROR(VLOOKUP($B13,'RA5-ROM'!$A$11:$BN$18,MATCH(Summary!BE$1,'RA5-ROM'!$A$9:$BN$9,1),FALSE),0)+IFERROR(VLOOKUP($B13,'RA6-CHPP'!$A$11:$BN$18,MATCH(Summary!BE$1,'RA6-CHPP'!$A$9:$BN$9,1),FALSE),0)+IFERROR(VLOOKUP($B13,'RA7-Mine Infrastructure Area'!$A$11:$BN$18,MATCH(Summary!BE$1,'RA7-Mine Infrastructure Area'!$A$9:$BN$9,1),FALSE),0)+IFERROR(VLOOKUP($B13,'RA8-Water Management Structures'!$A$11:$BN$18,MATCH(Summary!BE$1,'RA8-Water Management Structures'!$A$9:$BN$9,1),FALSE),0)+IFERROR(VLOOKUP($B13,'RA9-Codisposal Upper'!$A$11:$BN$18,MATCH(Summary!BE$1,'RA9-Codisposal Upper'!$A$9:$BN$9,1),FALSE),0)+IFERROR(VLOOKUP($B13,'RA10-Codisposal Slopes'!$A$11:$BN$18,MATCH(Summary!BE$1,'RA10-Codisposal Slopes'!$A$9:$BN$9,1),FALSE),0)+IFERROR(VLOOKUP($B13,'IA1-Final Void inc Ramps'!$A$11:$BN$18,MATCH(Summary!BE$1,'IA1-Final Void inc Ramps'!$A$9:$BN$9,1),FALSE),0)</f>
        <v>407.303</v>
      </c>
      <c r="BF13" s="51">
        <f>IFERROR(VLOOKUP($B13,'RA1- Elevated Dumps Upper'!$A$11:$BN$18,MATCH(Summary!BF$1,'RA1- Elevated Dumps Upper'!$A$9:$BN$9,1),FALSE),0)+IFERROR(VLOOKUP($B13,'RA2-Elevated Dumps Slopes'!$A$11:$BN$18,MATCH(Summary!BF$1,'RA2-Elevated Dumps Slopes'!$A$9:$BN$9,1),FALSE),0)+IFERROR(VLOOKUP($B13,'RA3-Backfilled Pits'!$A$11:$BN$18,MATCH(Summary!BF$1,'RA3-Backfilled Pits'!$A$9:$BN$9,1),FALSE),0)+IFERROR(VLOOKUP($B13,'RA4-Tracks_Roads'!$A$11:$BN$18,MATCH(Summary!BF$1,'RA4-Tracks_Roads'!$A$9:$BN$9,1),FALSE),0)+IFERROR(VLOOKUP($B13,'RA5-ROM'!$A$11:$BN$18,MATCH(Summary!BF$1,'RA5-ROM'!$A$9:$BN$9,1),FALSE),0)+IFERROR(VLOOKUP($B13,'RA6-CHPP'!$A$11:$BN$18,MATCH(Summary!BF$1,'RA6-CHPP'!$A$9:$BN$9,1),FALSE),0)+IFERROR(VLOOKUP($B13,'RA7-Mine Infrastructure Area'!$A$11:$BN$18,MATCH(Summary!BF$1,'RA7-Mine Infrastructure Area'!$A$9:$BN$9,1),FALSE),0)+IFERROR(VLOOKUP($B13,'RA8-Water Management Structures'!$A$11:$BN$18,MATCH(Summary!BF$1,'RA8-Water Management Structures'!$A$9:$BN$9,1),FALSE),0)+IFERROR(VLOOKUP($B13,'RA9-Codisposal Upper'!$A$11:$BN$18,MATCH(Summary!BF$1,'RA9-Codisposal Upper'!$A$9:$BN$9,1),FALSE),0)+IFERROR(VLOOKUP($B13,'RA10-Codisposal Slopes'!$A$11:$BN$18,MATCH(Summary!BF$1,'RA10-Codisposal Slopes'!$A$9:$BN$9,1),FALSE),0)+IFERROR(VLOOKUP($B13,'IA1-Final Void inc Ramps'!$A$11:$BN$18,MATCH(Summary!BF$1,'IA1-Final Void inc Ramps'!$A$9:$BN$9,1),FALSE),0)</f>
        <v>407.303</v>
      </c>
      <c r="BG13" s="51">
        <f>IFERROR(VLOOKUP($B13,'RA1- Elevated Dumps Upper'!$A$11:$BN$18,MATCH(Summary!BG$1,'RA1- Elevated Dumps Upper'!$A$9:$BN$9,1),FALSE),0)+IFERROR(VLOOKUP($B13,'RA2-Elevated Dumps Slopes'!$A$11:$BN$18,MATCH(Summary!BG$1,'RA2-Elevated Dumps Slopes'!$A$9:$BN$9,1),FALSE),0)+IFERROR(VLOOKUP($B13,'RA3-Backfilled Pits'!$A$11:$BN$18,MATCH(Summary!BG$1,'RA3-Backfilled Pits'!$A$9:$BN$9,1),FALSE),0)+IFERROR(VLOOKUP($B13,'RA4-Tracks_Roads'!$A$11:$BN$18,MATCH(Summary!BG$1,'RA4-Tracks_Roads'!$A$9:$BN$9,1),FALSE),0)+IFERROR(VLOOKUP($B13,'RA5-ROM'!$A$11:$BN$18,MATCH(Summary!BG$1,'RA5-ROM'!$A$9:$BN$9,1),FALSE),0)+IFERROR(VLOOKUP($B13,'RA6-CHPP'!$A$11:$BN$18,MATCH(Summary!BG$1,'RA6-CHPP'!$A$9:$BN$9,1),FALSE),0)+IFERROR(VLOOKUP($B13,'RA7-Mine Infrastructure Area'!$A$11:$BN$18,MATCH(Summary!BG$1,'RA7-Mine Infrastructure Area'!$A$9:$BN$9,1),FALSE),0)+IFERROR(VLOOKUP($B13,'RA8-Water Management Structures'!$A$11:$BN$18,MATCH(Summary!BG$1,'RA8-Water Management Structures'!$A$9:$BN$9,1),FALSE),0)+IFERROR(VLOOKUP($B13,'RA9-Codisposal Upper'!$A$11:$BN$18,MATCH(Summary!BG$1,'RA9-Codisposal Upper'!$A$9:$BN$9,1),FALSE),0)+IFERROR(VLOOKUP($B13,'RA10-Codisposal Slopes'!$A$11:$BN$18,MATCH(Summary!BG$1,'RA10-Codisposal Slopes'!$A$9:$BN$9,1),FALSE),0)+IFERROR(VLOOKUP($B13,'IA1-Final Void inc Ramps'!$A$11:$BN$18,MATCH(Summary!BG$1,'IA1-Final Void inc Ramps'!$A$9:$BN$9,1),FALSE),0)</f>
        <v>407.303</v>
      </c>
      <c r="BH13" s="51">
        <f>IFERROR(VLOOKUP($B13,'RA1- Elevated Dumps Upper'!$A$11:$BN$18,MATCH(Summary!BH$1,'RA1- Elevated Dumps Upper'!$A$9:$BN$9,1),FALSE),0)+IFERROR(VLOOKUP($B13,'RA2-Elevated Dumps Slopes'!$A$11:$BN$18,MATCH(Summary!BH$1,'RA2-Elevated Dumps Slopes'!$A$9:$BN$9,1),FALSE),0)+IFERROR(VLOOKUP($B13,'RA3-Backfilled Pits'!$A$11:$BN$18,MATCH(Summary!BH$1,'RA3-Backfilled Pits'!$A$9:$BN$9,1),FALSE),0)+IFERROR(VLOOKUP($B13,'RA4-Tracks_Roads'!$A$11:$BN$18,MATCH(Summary!BH$1,'RA4-Tracks_Roads'!$A$9:$BN$9,1),FALSE),0)+IFERROR(VLOOKUP($B13,'RA5-ROM'!$A$11:$BN$18,MATCH(Summary!BH$1,'RA5-ROM'!$A$9:$BN$9,1),FALSE),0)+IFERROR(VLOOKUP($B13,'RA6-CHPP'!$A$11:$BN$18,MATCH(Summary!BH$1,'RA6-CHPP'!$A$9:$BN$9,1),FALSE),0)+IFERROR(VLOOKUP($B13,'RA7-Mine Infrastructure Area'!$A$11:$BN$18,MATCH(Summary!BH$1,'RA7-Mine Infrastructure Area'!$A$9:$BN$9,1),FALSE),0)+IFERROR(VLOOKUP($B13,'RA8-Water Management Structures'!$A$11:$BN$18,MATCH(Summary!BH$1,'RA8-Water Management Structures'!$A$9:$BN$9,1),FALSE),0)+IFERROR(VLOOKUP($B13,'RA9-Codisposal Upper'!$A$11:$BN$18,MATCH(Summary!BH$1,'RA9-Codisposal Upper'!$A$9:$BN$9,1),FALSE),0)+IFERROR(VLOOKUP($B13,'RA10-Codisposal Slopes'!$A$11:$BN$18,MATCH(Summary!BH$1,'RA10-Codisposal Slopes'!$A$9:$BN$9,1),FALSE),0)+IFERROR(VLOOKUP($B13,'IA1-Final Void inc Ramps'!$A$11:$BN$18,MATCH(Summary!BH$1,'IA1-Final Void inc Ramps'!$A$9:$BN$9,1),FALSE),0)</f>
        <v>407.303</v>
      </c>
      <c r="BI13" s="51">
        <f>IFERROR(VLOOKUP($B13,'RA1- Elevated Dumps Upper'!$A$11:$BN$18,MATCH(Summary!BI$1,'RA1- Elevated Dumps Upper'!$A$9:$BN$9,1),FALSE),0)+IFERROR(VLOOKUP($B13,'RA2-Elevated Dumps Slopes'!$A$11:$BN$18,MATCH(Summary!BI$1,'RA2-Elevated Dumps Slopes'!$A$9:$BN$9,1),FALSE),0)+IFERROR(VLOOKUP($B13,'RA3-Backfilled Pits'!$A$11:$BN$18,MATCH(Summary!BI$1,'RA3-Backfilled Pits'!$A$9:$BN$9,1),FALSE),0)+IFERROR(VLOOKUP($B13,'RA4-Tracks_Roads'!$A$11:$BN$18,MATCH(Summary!BI$1,'RA4-Tracks_Roads'!$A$9:$BN$9,1),FALSE),0)+IFERROR(VLOOKUP($B13,'RA5-ROM'!$A$11:$BN$18,MATCH(Summary!BI$1,'RA5-ROM'!$A$9:$BN$9,1),FALSE),0)+IFERROR(VLOOKUP($B13,'RA6-CHPP'!$A$11:$BN$18,MATCH(Summary!BI$1,'RA6-CHPP'!$A$9:$BN$9,1),FALSE),0)+IFERROR(VLOOKUP($B13,'RA7-Mine Infrastructure Area'!$A$11:$BN$18,MATCH(Summary!BI$1,'RA7-Mine Infrastructure Area'!$A$9:$BN$9,1),FALSE),0)+IFERROR(VLOOKUP($B13,'RA8-Water Management Structures'!$A$11:$BN$18,MATCH(Summary!BI$1,'RA8-Water Management Structures'!$A$9:$BN$9,1),FALSE),0)+IFERROR(VLOOKUP($B13,'RA9-Codisposal Upper'!$A$11:$BN$18,MATCH(Summary!BI$1,'RA9-Codisposal Upper'!$A$9:$BN$9,1),FALSE),0)+IFERROR(VLOOKUP($B13,'RA10-Codisposal Slopes'!$A$11:$BN$18,MATCH(Summary!BI$1,'RA10-Codisposal Slopes'!$A$9:$BN$9,1),FALSE),0)+IFERROR(VLOOKUP($B13,'IA1-Final Void inc Ramps'!$A$11:$BN$18,MATCH(Summary!BI$1,'IA1-Final Void inc Ramps'!$A$9:$BN$9,1),FALSE),0)</f>
        <v>407.303</v>
      </c>
      <c r="BJ13" s="51">
        <f>IFERROR(VLOOKUP($B13,'RA1- Elevated Dumps Upper'!$A$11:$BN$18,MATCH(Summary!BJ$1,'RA1- Elevated Dumps Upper'!$A$9:$BN$9,1),FALSE),0)+IFERROR(VLOOKUP($B13,'RA2-Elevated Dumps Slopes'!$A$11:$BN$18,MATCH(Summary!BJ$1,'RA2-Elevated Dumps Slopes'!$A$9:$BN$9,1),FALSE),0)+IFERROR(VLOOKUP($B13,'RA3-Backfilled Pits'!$A$11:$BN$18,MATCH(Summary!BJ$1,'RA3-Backfilled Pits'!$A$9:$BN$9,1),FALSE),0)+IFERROR(VLOOKUP($B13,'RA4-Tracks_Roads'!$A$11:$BN$18,MATCH(Summary!BJ$1,'RA4-Tracks_Roads'!$A$9:$BN$9,1),FALSE),0)+IFERROR(VLOOKUP($B13,'RA5-ROM'!$A$11:$BN$18,MATCH(Summary!BJ$1,'RA5-ROM'!$A$9:$BN$9,1),FALSE),0)+IFERROR(VLOOKUP($B13,'RA6-CHPP'!$A$11:$BN$18,MATCH(Summary!BJ$1,'RA6-CHPP'!$A$9:$BN$9,1),FALSE),0)+IFERROR(VLOOKUP($B13,'RA7-Mine Infrastructure Area'!$A$11:$BN$18,MATCH(Summary!BJ$1,'RA7-Mine Infrastructure Area'!$A$9:$BN$9,1),FALSE),0)+IFERROR(VLOOKUP($B13,'RA8-Water Management Structures'!$A$11:$BN$18,MATCH(Summary!BJ$1,'RA8-Water Management Structures'!$A$9:$BN$9,1),FALSE),0)+IFERROR(VLOOKUP($B13,'RA9-Codisposal Upper'!$A$11:$BN$18,MATCH(Summary!BJ$1,'RA9-Codisposal Upper'!$A$9:$BN$9,1),FALSE),0)+IFERROR(VLOOKUP($B13,'RA10-Codisposal Slopes'!$A$11:$BN$18,MATCH(Summary!BJ$1,'RA10-Codisposal Slopes'!$A$9:$BN$9,1),FALSE),0)+IFERROR(VLOOKUP($B13,'IA1-Final Void inc Ramps'!$A$11:$BN$18,MATCH(Summary!BJ$1,'IA1-Final Void inc Ramps'!$A$9:$BN$9,1),FALSE),0)</f>
        <v>407.303</v>
      </c>
      <c r="BK13" s="51">
        <f>IFERROR(VLOOKUP($B13,'RA1- Elevated Dumps Upper'!$A$11:$BN$18,MATCH(Summary!BK$1,'RA1- Elevated Dumps Upper'!$A$9:$BN$9,1),FALSE),0)+IFERROR(VLOOKUP($B13,'RA2-Elevated Dumps Slopes'!$A$11:$BN$18,MATCH(Summary!BK$1,'RA2-Elevated Dumps Slopes'!$A$9:$BN$9,1),FALSE),0)+IFERROR(VLOOKUP($B13,'RA3-Backfilled Pits'!$A$11:$BN$18,MATCH(Summary!BK$1,'RA3-Backfilled Pits'!$A$9:$BN$9,1),FALSE),0)+IFERROR(VLOOKUP($B13,'RA4-Tracks_Roads'!$A$11:$BN$18,MATCH(Summary!BK$1,'RA4-Tracks_Roads'!$A$9:$BN$9,1),FALSE),0)+IFERROR(VLOOKUP($B13,'RA5-ROM'!$A$11:$BN$18,MATCH(Summary!BK$1,'RA5-ROM'!$A$9:$BN$9,1),FALSE),0)+IFERROR(VLOOKUP($B13,'RA6-CHPP'!$A$11:$BN$18,MATCH(Summary!BK$1,'RA6-CHPP'!$A$9:$BN$9,1),FALSE),0)+IFERROR(VLOOKUP($B13,'RA7-Mine Infrastructure Area'!$A$11:$BN$18,MATCH(Summary!BK$1,'RA7-Mine Infrastructure Area'!$A$9:$BN$9,1),FALSE),0)+IFERROR(VLOOKUP($B13,'RA8-Water Management Structures'!$A$11:$BN$18,MATCH(Summary!BK$1,'RA8-Water Management Structures'!$A$9:$BN$9,1),FALSE),0)+IFERROR(VLOOKUP($B13,'RA9-Codisposal Upper'!$A$11:$BN$18,MATCH(Summary!BK$1,'RA9-Codisposal Upper'!$A$9:$BN$9,1),FALSE),0)+IFERROR(VLOOKUP($B13,'RA10-Codisposal Slopes'!$A$11:$BN$18,MATCH(Summary!BK$1,'RA10-Codisposal Slopes'!$A$9:$BN$9,1),FALSE),0)+IFERROR(VLOOKUP($B13,'IA1-Final Void inc Ramps'!$A$11:$BN$18,MATCH(Summary!BK$1,'IA1-Final Void inc Ramps'!$A$9:$BN$9,1),FALSE),0)</f>
        <v>407.303</v>
      </c>
      <c r="BL13" s="51">
        <f>IFERROR(VLOOKUP($B13,'RA1- Elevated Dumps Upper'!$A$11:$BN$18,MATCH(Summary!BL$1,'RA1- Elevated Dumps Upper'!$A$9:$BN$9,1),FALSE),0)+IFERROR(VLOOKUP($B13,'RA2-Elevated Dumps Slopes'!$A$11:$BN$18,MATCH(Summary!BL$1,'RA2-Elevated Dumps Slopes'!$A$9:$BN$9,1),FALSE),0)+IFERROR(VLOOKUP($B13,'RA3-Backfilled Pits'!$A$11:$BN$18,MATCH(Summary!BL$1,'RA3-Backfilled Pits'!$A$9:$BN$9,1),FALSE),0)+IFERROR(VLOOKUP($B13,'RA4-Tracks_Roads'!$A$11:$BN$18,MATCH(Summary!BL$1,'RA4-Tracks_Roads'!$A$9:$BN$9,1),FALSE),0)+IFERROR(VLOOKUP($B13,'RA5-ROM'!$A$11:$BN$18,MATCH(Summary!BL$1,'RA5-ROM'!$A$9:$BN$9,1),FALSE),0)+IFERROR(VLOOKUP($B13,'RA6-CHPP'!$A$11:$BN$18,MATCH(Summary!BL$1,'RA6-CHPP'!$A$9:$BN$9,1),FALSE),0)+IFERROR(VLOOKUP($B13,'RA7-Mine Infrastructure Area'!$A$11:$BN$18,MATCH(Summary!BL$1,'RA7-Mine Infrastructure Area'!$A$9:$BN$9,1),FALSE),0)+IFERROR(VLOOKUP($B13,'RA8-Water Management Structures'!$A$11:$BN$18,MATCH(Summary!BL$1,'RA8-Water Management Structures'!$A$9:$BN$9,1),FALSE),0)+IFERROR(VLOOKUP($B13,'RA9-Codisposal Upper'!$A$11:$BN$18,MATCH(Summary!BL$1,'RA9-Codisposal Upper'!$A$9:$BN$9,1),FALSE),0)+IFERROR(VLOOKUP($B13,'RA10-Codisposal Slopes'!$A$11:$BN$18,MATCH(Summary!BL$1,'RA10-Codisposal Slopes'!$A$9:$BN$9,1),FALSE),0)+IFERROR(VLOOKUP($B13,'IA1-Final Void inc Ramps'!$A$11:$BN$18,MATCH(Summary!BL$1,'IA1-Final Void inc Ramps'!$A$9:$BN$9,1),FALSE),0)</f>
        <v>407.303</v>
      </c>
      <c r="BM13" s="51">
        <f>IFERROR(VLOOKUP($B13,'RA1- Elevated Dumps Upper'!$A$11:$BN$18,MATCH(Summary!BM$1,'RA1- Elevated Dumps Upper'!$A$9:$BN$9,1),FALSE),0)+IFERROR(VLOOKUP($B13,'RA2-Elevated Dumps Slopes'!$A$11:$BN$18,MATCH(Summary!BM$1,'RA2-Elevated Dumps Slopes'!$A$9:$BN$9,1),FALSE),0)+IFERROR(VLOOKUP($B13,'RA3-Backfilled Pits'!$A$11:$BN$18,MATCH(Summary!BM$1,'RA3-Backfilled Pits'!$A$9:$BN$9,1),FALSE),0)+IFERROR(VLOOKUP($B13,'RA4-Tracks_Roads'!$A$11:$BN$18,MATCH(Summary!BM$1,'RA4-Tracks_Roads'!$A$9:$BN$9,1),FALSE),0)+IFERROR(VLOOKUP($B13,'RA5-ROM'!$A$11:$BN$18,MATCH(Summary!BM$1,'RA5-ROM'!$A$9:$BN$9,1),FALSE),0)+IFERROR(VLOOKUP($B13,'RA6-CHPP'!$A$11:$BN$18,MATCH(Summary!BM$1,'RA6-CHPP'!$A$9:$BN$9,1),FALSE),0)+IFERROR(VLOOKUP($B13,'RA7-Mine Infrastructure Area'!$A$11:$BN$18,MATCH(Summary!BM$1,'RA7-Mine Infrastructure Area'!$A$9:$BN$9,1),FALSE),0)+IFERROR(VLOOKUP($B13,'RA8-Water Management Structures'!$A$11:$BN$18,MATCH(Summary!BM$1,'RA8-Water Management Structures'!$A$9:$BN$9,1),FALSE),0)+IFERROR(VLOOKUP($B13,'RA9-Codisposal Upper'!$A$11:$BN$18,MATCH(Summary!BM$1,'RA9-Codisposal Upper'!$A$9:$BN$9,1),FALSE),0)+IFERROR(VLOOKUP($B13,'RA10-Codisposal Slopes'!$A$11:$BN$18,MATCH(Summary!BM$1,'RA10-Codisposal Slopes'!$A$9:$BN$9,1),FALSE),0)+IFERROR(VLOOKUP($B13,'IA1-Final Void inc Ramps'!$A$11:$BN$18,MATCH(Summary!BM$1,'IA1-Final Void inc Ramps'!$A$9:$BN$9,1),FALSE),0)</f>
        <v>407.303</v>
      </c>
      <c r="BN13" s="51">
        <f>IFERROR(VLOOKUP($B13,'RA1- Elevated Dumps Upper'!$A$11:$BN$18,MATCH(Summary!BN$1,'RA1- Elevated Dumps Upper'!$A$9:$BN$9,1),FALSE),0)+IFERROR(VLOOKUP($B13,'RA2-Elevated Dumps Slopes'!$A$11:$BN$18,MATCH(Summary!BN$1,'RA2-Elevated Dumps Slopes'!$A$9:$BN$9,1),FALSE),0)+IFERROR(VLOOKUP($B13,'RA3-Backfilled Pits'!$A$11:$BN$18,MATCH(Summary!BN$1,'RA3-Backfilled Pits'!$A$9:$BN$9,1),FALSE),0)+IFERROR(VLOOKUP($B13,'RA4-Tracks_Roads'!$A$11:$BN$18,MATCH(Summary!BN$1,'RA4-Tracks_Roads'!$A$9:$BN$9,1),FALSE),0)+IFERROR(VLOOKUP($B13,'RA5-ROM'!$A$11:$BN$18,MATCH(Summary!BN$1,'RA5-ROM'!$A$9:$BN$9,1),FALSE),0)+IFERROR(VLOOKUP($B13,'RA6-CHPP'!$A$11:$BN$18,MATCH(Summary!BN$1,'RA6-CHPP'!$A$9:$BN$9,1),FALSE),0)+IFERROR(VLOOKUP($B13,'RA7-Mine Infrastructure Area'!$A$11:$BN$18,MATCH(Summary!BN$1,'RA7-Mine Infrastructure Area'!$A$9:$BN$9,1),FALSE),0)+IFERROR(VLOOKUP($B13,'RA8-Water Management Structures'!$A$11:$BN$18,MATCH(Summary!BN$1,'RA8-Water Management Structures'!$A$9:$BN$9,1),FALSE),0)+IFERROR(VLOOKUP($B13,'RA9-Codisposal Upper'!$A$11:$BN$18,MATCH(Summary!BN$1,'RA9-Codisposal Upper'!$A$9:$BN$9,1),FALSE),0)+IFERROR(VLOOKUP($B13,'RA10-Codisposal Slopes'!$A$11:$BN$18,MATCH(Summary!BN$1,'RA10-Codisposal Slopes'!$A$9:$BN$9,1),FALSE),0)+IFERROR(VLOOKUP($B13,'IA1-Final Void inc Ramps'!$A$11:$BN$18,MATCH(Summary!BN$1,'IA1-Final Void inc Ramps'!$A$9:$BN$9,1),FALSE),0)</f>
        <v>407.303</v>
      </c>
    </row>
    <row r="14" spans="1:66" x14ac:dyDescent="0.35">
      <c r="B14" t="s">
        <v>7</v>
      </c>
      <c r="D14" s="51">
        <f>IFERROR(VLOOKUP($B14,'RA1- Elevated Dumps Upper'!$A$11:$BN$18,MATCH(Summary!D$1,'RA1- Elevated Dumps Upper'!$A$9:$BN$9,1),FALSE),0)+IFERROR(VLOOKUP($B14,'RA2-Elevated Dumps Slopes'!$A$11:$BN$18,MATCH(Summary!D$1,'RA2-Elevated Dumps Slopes'!$A$9:$BN$9,1),FALSE),0)+IFERROR(VLOOKUP($B14,'RA3-Backfilled Pits'!$A$11:$BN$18,MATCH(Summary!D$1,'RA3-Backfilled Pits'!$A$9:$BN$9,1),FALSE),0)+IFERROR(VLOOKUP($B14,'RA4-Tracks_Roads'!$A$11:$BN$18,MATCH(Summary!D$1,'RA4-Tracks_Roads'!$A$9:$BN$9,1),FALSE),0)+IFERROR(VLOOKUP($B14,'RA5-ROM'!$A$11:$BN$18,MATCH(Summary!D$1,'RA5-ROM'!$A$9:$BN$9,1),FALSE),0)+IFERROR(VLOOKUP($B14,'RA6-CHPP'!$A$11:$BN$18,MATCH(Summary!D$1,'RA6-CHPP'!$A$9:$BN$9,1),FALSE),0)+IFERROR(VLOOKUP($B14,'RA7-Mine Infrastructure Area'!$A$11:$BN$18,MATCH(Summary!D$1,'RA7-Mine Infrastructure Area'!$A$9:$BN$9,1),FALSE),0)+IFERROR(VLOOKUP($B14,'RA8-Water Management Structures'!$A$11:$BN$18,MATCH(Summary!D$1,'RA8-Water Management Structures'!$A$9:$BN$9,1),FALSE),0)+IFERROR(VLOOKUP($B14,'RA9-Codisposal Upper'!$A$11:$BN$18,MATCH(Summary!D$1,'RA9-Codisposal Upper'!$A$9:$BN$9,1),FALSE),0)+IFERROR(VLOOKUP($B14,'RA10-Codisposal Slopes'!$A$11:$BN$18,MATCH(Summary!D$1,'RA10-Codisposal Slopes'!$A$9:$BN$9,1),FALSE),0)+IFERROR(VLOOKUP($B14,'IA1-Final Void inc Ramps'!$A$11:$BN$18,MATCH(Summary!D$1,'IA1-Final Void inc Ramps'!$A$9:$BN$9,1),FALSE),0)</f>
        <v>0</v>
      </c>
      <c r="E14" s="51">
        <f>IFERROR(VLOOKUP($B14,'RA1- Elevated Dumps Upper'!$A$11:$BN$18,MATCH(Summary!E$1,'RA1- Elevated Dumps Upper'!$A$9:$BN$9,1),FALSE),0)+IFERROR(VLOOKUP($B14,'RA2-Elevated Dumps Slopes'!$A$11:$BN$18,MATCH(Summary!E$1,'RA2-Elevated Dumps Slopes'!$A$9:$BN$9,1),FALSE),0)+IFERROR(VLOOKUP($B14,'RA3-Backfilled Pits'!$A$11:$BN$18,MATCH(Summary!E$1,'RA3-Backfilled Pits'!$A$9:$BN$9,1),FALSE),0)+IFERROR(VLOOKUP($B14,'RA4-Tracks_Roads'!$A$11:$BN$18,MATCH(Summary!E$1,'RA4-Tracks_Roads'!$A$9:$BN$9,1),FALSE),0)+IFERROR(VLOOKUP($B14,'RA5-ROM'!$A$11:$BN$18,MATCH(Summary!E$1,'RA5-ROM'!$A$9:$BN$9,1),FALSE),0)+IFERROR(VLOOKUP($B14,'RA6-CHPP'!$A$11:$BN$18,MATCH(Summary!E$1,'RA6-CHPP'!$A$9:$BN$9,1),FALSE),0)+IFERROR(VLOOKUP($B14,'RA7-Mine Infrastructure Area'!$A$11:$BN$18,MATCH(Summary!E$1,'RA7-Mine Infrastructure Area'!$A$9:$BN$9,1),FALSE),0)+IFERROR(VLOOKUP($B14,'RA8-Water Management Structures'!$A$11:$BN$18,MATCH(Summary!E$1,'RA8-Water Management Structures'!$A$9:$BN$9,1),FALSE),0)+IFERROR(VLOOKUP($B14,'RA9-Codisposal Upper'!$A$11:$BN$18,MATCH(Summary!E$1,'RA9-Codisposal Upper'!$A$9:$BN$9,1),FALSE),0)+IFERROR(VLOOKUP($B14,'RA10-Codisposal Slopes'!$A$11:$BN$18,MATCH(Summary!E$1,'RA10-Codisposal Slopes'!$A$9:$BN$9,1),FALSE),0)+IFERROR(VLOOKUP($B14,'IA1-Final Void inc Ramps'!$A$11:$BN$18,MATCH(Summary!E$1,'IA1-Final Void inc Ramps'!$A$9:$BN$9,1),FALSE),0)</f>
        <v>0</v>
      </c>
      <c r="F14" s="51">
        <f>IFERROR(VLOOKUP($B14,'RA1- Elevated Dumps Upper'!$A$11:$BN$18,MATCH(Summary!F$1,'RA1- Elevated Dumps Upper'!$A$9:$BN$9,1),FALSE),0)+IFERROR(VLOOKUP($B14,'RA2-Elevated Dumps Slopes'!$A$11:$BN$18,MATCH(Summary!F$1,'RA2-Elevated Dumps Slopes'!$A$9:$BN$9,1),FALSE),0)+IFERROR(VLOOKUP($B14,'RA3-Backfilled Pits'!$A$11:$BN$18,MATCH(Summary!F$1,'RA3-Backfilled Pits'!$A$9:$BN$9,1),FALSE),0)+IFERROR(VLOOKUP($B14,'RA4-Tracks_Roads'!$A$11:$BN$18,MATCH(Summary!F$1,'RA4-Tracks_Roads'!$A$9:$BN$9,1),FALSE),0)+IFERROR(VLOOKUP($B14,'RA5-ROM'!$A$11:$BN$18,MATCH(Summary!F$1,'RA5-ROM'!$A$9:$BN$9,1),FALSE),0)+IFERROR(VLOOKUP($B14,'RA6-CHPP'!$A$11:$BN$18,MATCH(Summary!F$1,'RA6-CHPP'!$A$9:$BN$9,1),FALSE),0)+IFERROR(VLOOKUP($B14,'RA7-Mine Infrastructure Area'!$A$11:$BN$18,MATCH(Summary!F$1,'RA7-Mine Infrastructure Area'!$A$9:$BN$9,1),FALSE),0)+IFERROR(VLOOKUP($B14,'RA8-Water Management Structures'!$A$11:$BN$18,MATCH(Summary!F$1,'RA8-Water Management Structures'!$A$9:$BN$9,1),FALSE),0)+IFERROR(VLOOKUP($B14,'RA9-Codisposal Upper'!$A$11:$BN$18,MATCH(Summary!F$1,'RA9-Codisposal Upper'!$A$9:$BN$9,1),FALSE),0)+IFERROR(VLOOKUP($B14,'RA10-Codisposal Slopes'!$A$11:$BN$18,MATCH(Summary!F$1,'RA10-Codisposal Slopes'!$A$9:$BN$9,1),FALSE),0)+IFERROR(VLOOKUP($B14,'IA1-Final Void inc Ramps'!$A$11:$BN$18,MATCH(Summary!F$1,'IA1-Final Void inc Ramps'!$A$9:$BN$9,1),FALSE),0)</f>
        <v>0</v>
      </c>
      <c r="G14" s="51">
        <f>IFERROR(VLOOKUP($B14,'RA1- Elevated Dumps Upper'!$A$11:$BN$18,MATCH(Summary!G$1,'RA1- Elevated Dumps Upper'!$A$9:$BN$9,1),FALSE),0)+IFERROR(VLOOKUP($B14,'RA2-Elevated Dumps Slopes'!$A$11:$BN$18,MATCH(Summary!G$1,'RA2-Elevated Dumps Slopes'!$A$9:$BN$9,1),FALSE),0)+IFERROR(VLOOKUP($B14,'RA3-Backfilled Pits'!$A$11:$BN$18,MATCH(Summary!G$1,'RA3-Backfilled Pits'!$A$9:$BN$9,1),FALSE),0)+IFERROR(VLOOKUP($B14,'RA4-Tracks_Roads'!$A$11:$BN$18,MATCH(Summary!G$1,'RA4-Tracks_Roads'!$A$9:$BN$9,1),FALSE),0)+IFERROR(VLOOKUP($B14,'RA5-ROM'!$A$11:$BN$18,MATCH(Summary!G$1,'RA5-ROM'!$A$9:$BN$9,1),FALSE),0)+IFERROR(VLOOKUP($B14,'RA6-CHPP'!$A$11:$BN$18,MATCH(Summary!G$1,'RA6-CHPP'!$A$9:$BN$9,1),FALSE),0)+IFERROR(VLOOKUP($B14,'RA7-Mine Infrastructure Area'!$A$11:$BN$18,MATCH(Summary!G$1,'RA7-Mine Infrastructure Area'!$A$9:$BN$9,1),FALSE),0)+IFERROR(VLOOKUP($B14,'RA8-Water Management Structures'!$A$11:$BN$18,MATCH(Summary!G$1,'RA8-Water Management Structures'!$A$9:$BN$9,1),FALSE),0)+IFERROR(VLOOKUP($B14,'RA9-Codisposal Upper'!$A$11:$BN$18,MATCH(Summary!G$1,'RA9-Codisposal Upper'!$A$9:$BN$9,1),FALSE),0)+IFERROR(VLOOKUP($B14,'RA10-Codisposal Slopes'!$A$11:$BN$18,MATCH(Summary!G$1,'RA10-Codisposal Slopes'!$A$9:$BN$9,1),FALSE),0)+IFERROR(VLOOKUP($B14,'IA1-Final Void inc Ramps'!$A$11:$BN$18,MATCH(Summary!G$1,'IA1-Final Void inc Ramps'!$A$9:$BN$9,1),FALSE),0)</f>
        <v>0</v>
      </c>
      <c r="H14" s="51">
        <f>IFERROR(VLOOKUP($B14,'RA1- Elevated Dumps Upper'!$A$11:$BN$18,MATCH(Summary!H$1,'RA1- Elevated Dumps Upper'!$A$9:$BN$9,1),FALSE),0)+IFERROR(VLOOKUP($B14,'RA2-Elevated Dumps Slopes'!$A$11:$BN$18,MATCH(Summary!H$1,'RA2-Elevated Dumps Slopes'!$A$9:$BN$9,1),FALSE),0)+IFERROR(VLOOKUP($B14,'RA3-Backfilled Pits'!$A$11:$BN$18,MATCH(Summary!H$1,'RA3-Backfilled Pits'!$A$9:$BN$9,1),FALSE),0)+IFERROR(VLOOKUP($B14,'RA4-Tracks_Roads'!$A$11:$BN$18,MATCH(Summary!H$1,'RA4-Tracks_Roads'!$A$9:$BN$9,1),FALSE),0)+IFERROR(VLOOKUP($B14,'RA5-ROM'!$A$11:$BN$18,MATCH(Summary!H$1,'RA5-ROM'!$A$9:$BN$9,1),FALSE),0)+IFERROR(VLOOKUP($B14,'RA6-CHPP'!$A$11:$BN$18,MATCH(Summary!H$1,'RA6-CHPP'!$A$9:$BN$9,1),FALSE),0)+IFERROR(VLOOKUP($B14,'RA7-Mine Infrastructure Area'!$A$11:$BN$18,MATCH(Summary!H$1,'RA7-Mine Infrastructure Area'!$A$9:$BN$9,1),FALSE),0)+IFERROR(VLOOKUP($B14,'RA8-Water Management Structures'!$A$11:$BN$18,MATCH(Summary!H$1,'RA8-Water Management Structures'!$A$9:$BN$9,1),FALSE),0)+IFERROR(VLOOKUP($B14,'RA9-Codisposal Upper'!$A$11:$BN$18,MATCH(Summary!H$1,'RA9-Codisposal Upper'!$A$9:$BN$9,1),FALSE),0)+IFERROR(VLOOKUP($B14,'RA10-Codisposal Slopes'!$A$11:$BN$18,MATCH(Summary!H$1,'RA10-Codisposal Slopes'!$A$9:$BN$9,1),FALSE),0)+IFERROR(VLOOKUP($B14,'IA1-Final Void inc Ramps'!$A$11:$BN$18,MATCH(Summary!H$1,'IA1-Final Void inc Ramps'!$A$9:$BN$9,1),FALSE),0)</f>
        <v>0</v>
      </c>
      <c r="I14" s="51">
        <f>IFERROR(VLOOKUP($B14,'RA1- Elevated Dumps Upper'!$A$11:$BN$18,MATCH(Summary!I$1,'RA1- Elevated Dumps Upper'!$A$9:$BN$9,1),FALSE),0)+IFERROR(VLOOKUP($B14,'RA2-Elevated Dumps Slopes'!$A$11:$BN$18,MATCH(Summary!I$1,'RA2-Elevated Dumps Slopes'!$A$9:$BN$9,1),FALSE),0)+IFERROR(VLOOKUP($B14,'RA3-Backfilled Pits'!$A$11:$BN$18,MATCH(Summary!I$1,'RA3-Backfilled Pits'!$A$9:$BN$9,1),FALSE),0)+IFERROR(VLOOKUP($B14,'RA4-Tracks_Roads'!$A$11:$BN$18,MATCH(Summary!I$1,'RA4-Tracks_Roads'!$A$9:$BN$9,1),FALSE),0)+IFERROR(VLOOKUP($B14,'RA5-ROM'!$A$11:$BN$18,MATCH(Summary!I$1,'RA5-ROM'!$A$9:$BN$9,1),FALSE),0)+IFERROR(VLOOKUP($B14,'RA6-CHPP'!$A$11:$BN$18,MATCH(Summary!I$1,'RA6-CHPP'!$A$9:$BN$9,1),FALSE),0)+IFERROR(VLOOKUP($B14,'RA7-Mine Infrastructure Area'!$A$11:$BN$18,MATCH(Summary!I$1,'RA7-Mine Infrastructure Area'!$A$9:$BN$9,1),FALSE),0)+IFERROR(VLOOKUP($B14,'RA8-Water Management Structures'!$A$11:$BN$18,MATCH(Summary!I$1,'RA8-Water Management Structures'!$A$9:$BN$9,1),FALSE),0)+IFERROR(VLOOKUP($B14,'RA9-Codisposal Upper'!$A$11:$BN$18,MATCH(Summary!I$1,'RA9-Codisposal Upper'!$A$9:$BN$9,1),FALSE),0)+IFERROR(VLOOKUP($B14,'RA10-Codisposal Slopes'!$A$11:$BN$18,MATCH(Summary!I$1,'RA10-Codisposal Slopes'!$A$9:$BN$9,1),FALSE),0)+IFERROR(VLOOKUP($B14,'IA1-Final Void inc Ramps'!$A$11:$BN$18,MATCH(Summary!I$1,'IA1-Final Void inc Ramps'!$A$9:$BN$9,1),FALSE),0)</f>
        <v>0</v>
      </c>
      <c r="J14" s="51">
        <f>IFERROR(VLOOKUP($B14,'RA1- Elevated Dumps Upper'!$A$11:$BN$18,MATCH(Summary!J$1,'RA1- Elevated Dumps Upper'!$A$9:$BN$9,1),FALSE),0)+IFERROR(VLOOKUP($B14,'RA2-Elevated Dumps Slopes'!$A$11:$BN$18,MATCH(Summary!J$1,'RA2-Elevated Dumps Slopes'!$A$9:$BN$9,1),FALSE),0)+IFERROR(VLOOKUP($B14,'RA3-Backfilled Pits'!$A$11:$BN$18,MATCH(Summary!J$1,'RA3-Backfilled Pits'!$A$9:$BN$9,1),FALSE),0)+IFERROR(VLOOKUP($B14,'RA4-Tracks_Roads'!$A$11:$BN$18,MATCH(Summary!J$1,'RA4-Tracks_Roads'!$A$9:$BN$9,1),FALSE),0)+IFERROR(VLOOKUP($B14,'RA5-ROM'!$A$11:$BN$18,MATCH(Summary!J$1,'RA5-ROM'!$A$9:$BN$9,1),FALSE),0)+IFERROR(VLOOKUP($B14,'RA6-CHPP'!$A$11:$BN$18,MATCH(Summary!J$1,'RA6-CHPP'!$A$9:$BN$9,1),FALSE),0)+IFERROR(VLOOKUP($B14,'RA7-Mine Infrastructure Area'!$A$11:$BN$18,MATCH(Summary!J$1,'RA7-Mine Infrastructure Area'!$A$9:$BN$9,1),FALSE),0)+IFERROR(VLOOKUP($B14,'RA8-Water Management Structures'!$A$11:$BN$18,MATCH(Summary!J$1,'RA8-Water Management Structures'!$A$9:$BN$9,1),FALSE),0)+IFERROR(VLOOKUP($B14,'RA9-Codisposal Upper'!$A$11:$BN$18,MATCH(Summary!J$1,'RA9-Codisposal Upper'!$A$9:$BN$9,1),FALSE),0)+IFERROR(VLOOKUP($B14,'RA10-Codisposal Slopes'!$A$11:$BN$18,MATCH(Summary!J$1,'RA10-Codisposal Slopes'!$A$9:$BN$9,1),FALSE),0)+IFERROR(VLOOKUP($B14,'IA1-Final Void inc Ramps'!$A$11:$BN$18,MATCH(Summary!J$1,'IA1-Final Void inc Ramps'!$A$9:$BN$9,1),FALSE),0)</f>
        <v>0</v>
      </c>
      <c r="K14" s="51">
        <f>IFERROR(VLOOKUP($B14,'RA1- Elevated Dumps Upper'!$A$11:$BN$18,MATCH(Summary!K$1,'RA1- Elevated Dumps Upper'!$A$9:$BN$9,1),FALSE),0)+IFERROR(VLOOKUP($B14,'RA2-Elevated Dumps Slopes'!$A$11:$BN$18,MATCH(Summary!K$1,'RA2-Elevated Dumps Slopes'!$A$9:$BN$9,1),FALSE),0)+IFERROR(VLOOKUP($B14,'RA3-Backfilled Pits'!$A$11:$BN$18,MATCH(Summary!K$1,'RA3-Backfilled Pits'!$A$9:$BN$9,1),FALSE),0)+IFERROR(VLOOKUP($B14,'RA4-Tracks_Roads'!$A$11:$BN$18,MATCH(Summary!K$1,'RA4-Tracks_Roads'!$A$9:$BN$9,1),FALSE),0)+IFERROR(VLOOKUP($B14,'RA5-ROM'!$A$11:$BN$18,MATCH(Summary!K$1,'RA5-ROM'!$A$9:$BN$9,1),FALSE),0)+IFERROR(VLOOKUP($B14,'RA6-CHPP'!$A$11:$BN$18,MATCH(Summary!K$1,'RA6-CHPP'!$A$9:$BN$9,1),FALSE),0)+IFERROR(VLOOKUP($B14,'RA7-Mine Infrastructure Area'!$A$11:$BN$18,MATCH(Summary!K$1,'RA7-Mine Infrastructure Area'!$A$9:$BN$9,1),FALSE),0)+IFERROR(VLOOKUP($B14,'RA8-Water Management Structures'!$A$11:$BN$18,MATCH(Summary!K$1,'RA8-Water Management Structures'!$A$9:$BN$9,1),FALSE),0)+IFERROR(VLOOKUP($B14,'RA9-Codisposal Upper'!$A$11:$BN$18,MATCH(Summary!K$1,'RA9-Codisposal Upper'!$A$9:$BN$9,1),FALSE),0)+IFERROR(VLOOKUP($B14,'RA10-Codisposal Slopes'!$A$11:$BN$18,MATCH(Summary!K$1,'RA10-Codisposal Slopes'!$A$9:$BN$9,1),FALSE),0)+IFERROR(VLOOKUP($B14,'IA1-Final Void inc Ramps'!$A$11:$BN$18,MATCH(Summary!K$1,'IA1-Final Void inc Ramps'!$A$9:$BN$9,1),FALSE),0)</f>
        <v>33.869</v>
      </c>
      <c r="L14" s="51">
        <f>IFERROR(VLOOKUP($B14,'RA1- Elevated Dumps Upper'!$A$11:$BN$18,MATCH(Summary!L$1,'RA1- Elevated Dumps Upper'!$A$9:$BN$9,1),FALSE),0)+IFERROR(VLOOKUP($B14,'RA2-Elevated Dumps Slopes'!$A$11:$BN$18,MATCH(Summary!L$1,'RA2-Elevated Dumps Slopes'!$A$9:$BN$9,1),FALSE),0)+IFERROR(VLOOKUP($B14,'RA3-Backfilled Pits'!$A$11:$BN$18,MATCH(Summary!L$1,'RA3-Backfilled Pits'!$A$9:$BN$9,1),FALSE),0)+IFERROR(VLOOKUP($B14,'RA4-Tracks_Roads'!$A$11:$BN$18,MATCH(Summary!L$1,'RA4-Tracks_Roads'!$A$9:$BN$9,1),FALSE),0)+IFERROR(VLOOKUP($B14,'RA5-ROM'!$A$11:$BN$18,MATCH(Summary!L$1,'RA5-ROM'!$A$9:$BN$9,1),FALSE),0)+IFERROR(VLOOKUP($B14,'RA6-CHPP'!$A$11:$BN$18,MATCH(Summary!L$1,'RA6-CHPP'!$A$9:$BN$9,1),FALSE),0)+IFERROR(VLOOKUP($B14,'RA7-Mine Infrastructure Area'!$A$11:$BN$18,MATCH(Summary!L$1,'RA7-Mine Infrastructure Area'!$A$9:$BN$9,1),FALSE),0)+IFERROR(VLOOKUP($B14,'RA8-Water Management Structures'!$A$11:$BN$18,MATCH(Summary!L$1,'RA8-Water Management Structures'!$A$9:$BN$9,1),FALSE),0)+IFERROR(VLOOKUP($B14,'RA9-Codisposal Upper'!$A$11:$BN$18,MATCH(Summary!L$1,'RA9-Codisposal Upper'!$A$9:$BN$9,1),FALSE),0)+IFERROR(VLOOKUP($B14,'RA10-Codisposal Slopes'!$A$11:$BN$18,MATCH(Summary!L$1,'RA10-Codisposal Slopes'!$A$9:$BN$9,1),FALSE),0)+IFERROR(VLOOKUP($B14,'IA1-Final Void inc Ramps'!$A$11:$BN$18,MATCH(Summary!L$1,'IA1-Final Void inc Ramps'!$A$9:$BN$9,1),FALSE),0)</f>
        <v>78.697000000000003</v>
      </c>
      <c r="M14" s="51">
        <f>IFERROR(VLOOKUP($B14,'RA1- Elevated Dumps Upper'!$A$11:$BN$18,MATCH(Summary!M$1,'RA1- Elevated Dumps Upper'!$A$9:$BN$9,1),FALSE),0)+IFERROR(VLOOKUP($B14,'RA2-Elevated Dumps Slopes'!$A$11:$BN$18,MATCH(Summary!M$1,'RA2-Elevated Dumps Slopes'!$A$9:$BN$9,1),FALSE),0)+IFERROR(VLOOKUP($B14,'RA3-Backfilled Pits'!$A$11:$BN$18,MATCH(Summary!M$1,'RA3-Backfilled Pits'!$A$9:$BN$9,1),FALSE),0)+IFERROR(VLOOKUP($B14,'RA4-Tracks_Roads'!$A$11:$BN$18,MATCH(Summary!M$1,'RA4-Tracks_Roads'!$A$9:$BN$9,1),FALSE),0)+IFERROR(VLOOKUP($B14,'RA5-ROM'!$A$11:$BN$18,MATCH(Summary!M$1,'RA5-ROM'!$A$9:$BN$9,1),FALSE),0)+IFERROR(VLOOKUP($B14,'RA6-CHPP'!$A$11:$BN$18,MATCH(Summary!M$1,'RA6-CHPP'!$A$9:$BN$9,1),FALSE),0)+IFERROR(VLOOKUP($B14,'RA7-Mine Infrastructure Area'!$A$11:$BN$18,MATCH(Summary!M$1,'RA7-Mine Infrastructure Area'!$A$9:$BN$9,1),FALSE),0)+IFERROR(VLOOKUP($B14,'RA8-Water Management Structures'!$A$11:$BN$18,MATCH(Summary!M$1,'RA8-Water Management Structures'!$A$9:$BN$9,1),FALSE),0)+IFERROR(VLOOKUP($B14,'RA9-Codisposal Upper'!$A$11:$BN$18,MATCH(Summary!M$1,'RA9-Codisposal Upper'!$A$9:$BN$9,1),FALSE),0)+IFERROR(VLOOKUP($B14,'RA10-Codisposal Slopes'!$A$11:$BN$18,MATCH(Summary!M$1,'RA10-Codisposal Slopes'!$A$9:$BN$9,1),FALSE),0)+IFERROR(VLOOKUP($B14,'IA1-Final Void inc Ramps'!$A$11:$BN$18,MATCH(Summary!M$1,'IA1-Final Void inc Ramps'!$A$9:$BN$9,1),FALSE),0)</f>
        <v>129.40700000000001</v>
      </c>
      <c r="N14" s="51">
        <f>IFERROR(VLOOKUP($B14,'RA1- Elevated Dumps Upper'!$A$11:$BN$18,MATCH(Summary!N$1,'RA1- Elevated Dumps Upper'!$A$9:$BN$9,1),FALSE),0)+IFERROR(VLOOKUP($B14,'RA2-Elevated Dumps Slopes'!$A$11:$BN$18,MATCH(Summary!N$1,'RA2-Elevated Dumps Slopes'!$A$9:$BN$9,1),FALSE),0)+IFERROR(VLOOKUP($B14,'RA3-Backfilled Pits'!$A$11:$BN$18,MATCH(Summary!N$1,'RA3-Backfilled Pits'!$A$9:$BN$9,1),FALSE),0)+IFERROR(VLOOKUP($B14,'RA4-Tracks_Roads'!$A$11:$BN$18,MATCH(Summary!N$1,'RA4-Tracks_Roads'!$A$9:$BN$9,1),FALSE),0)+IFERROR(VLOOKUP($B14,'RA5-ROM'!$A$11:$BN$18,MATCH(Summary!N$1,'RA5-ROM'!$A$9:$BN$9,1),FALSE),0)+IFERROR(VLOOKUP($B14,'RA6-CHPP'!$A$11:$BN$18,MATCH(Summary!N$1,'RA6-CHPP'!$A$9:$BN$9,1),FALSE),0)+IFERROR(VLOOKUP($B14,'RA7-Mine Infrastructure Area'!$A$11:$BN$18,MATCH(Summary!N$1,'RA7-Mine Infrastructure Area'!$A$9:$BN$9,1),FALSE),0)+IFERROR(VLOOKUP($B14,'RA8-Water Management Structures'!$A$11:$BN$18,MATCH(Summary!N$1,'RA8-Water Management Structures'!$A$9:$BN$9,1),FALSE),0)+IFERROR(VLOOKUP($B14,'RA9-Codisposal Upper'!$A$11:$BN$18,MATCH(Summary!N$1,'RA9-Codisposal Upper'!$A$9:$BN$9,1),FALSE),0)+IFERROR(VLOOKUP($B14,'RA10-Codisposal Slopes'!$A$11:$BN$18,MATCH(Summary!N$1,'RA10-Codisposal Slopes'!$A$9:$BN$9,1),FALSE),0)+IFERROR(VLOOKUP($B14,'IA1-Final Void inc Ramps'!$A$11:$BN$18,MATCH(Summary!N$1,'IA1-Final Void inc Ramps'!$A$9:$BN$9,1),FALSE),0)</f>
        <v>241.43900000000002</v>
      </c>
      <c r="O14" s="51">
        <f>IFERROR(VLOOKUP($B14,'RA1- Elevated Dumps Upper'!$A$11:$BN$18,MATCH(Summary!O$1,'RA1- Elevated Dumps Upper'!$A$9:$BN$9,1),FALSE),0)+IFERROR(VLOOKUP($B14,'RA2-Elevated Dumps Slopes'!$A$11:$BN$18,MATCH(Summary!O$1,'RA2-Elevated Dumps Slopes'!$A$9:$BN$9,1),FALSE),0)+IFERROR(VLOOKUP($B14,'RA3-Backfilled Pits'!$A$11:$BN$18,MATCH(Summary!O$1,'RA3-Backfilled Pits'!$A$9:$BN$9,1),FALSE),0)+IFERROR(VLOOKUP($B14,'RA4-Tracks_Roads'!$A$11:$BN$18,MATCH(Summary!O$1,'RA4-Tracks_Roads'!$A$9:$BN$9,1),FALSE),0)+IFERROR(VLOOKUP($B14,'RA5-ROM'!$A$11:$BN$18,MATCH(Summary!O$1,'RA5-ROM'!$A$9:$BN$9,1),FALSE),0)+IFERROR(VLOOKUP($B14,'RA6-CHPP'!$A$11:$BN$18,MATCH(Summary!O$1,'RA6-CHPP'!$A$9:$BN$9,1),FALSE),0)+IFERROR(VLOOKUP($B14,'RA7-Mine Infrastructure Area'!$A$11:$BN$18,MATCH(Summary!O$1,'RA7-Mine Infrastructure Area'!$A$9:$BN$9,1),FALSE),0)+IFERROR(VLOOKUP($B14,'RA8-Water Management Structures'!$A$11:$BN$18,MATCH(Summary!O$1,'RA8-Water Management Structures'!$A$9:$BN$9,1),FALSE),0)+IFERROR(VLOOKUP($B14,'RA9-Codisposal Upper'!$A$11:$BN$18,MATCH(Summary!O$1,'RA9-Codisposal Upper'!$A$9:$BN$9,1),FALSE),0)+IFERROR(VLOOKUP($B14,'RA10-Codisposal Slopes'!$A$11:$BN$18,MATCH(Summary!O$1,'RA10-Codisposal Slopes'!$A$9:$BN$9,1),FALSE),0)+IFERROR(VLOOKUP($B14,'IA1-Final Void inc Ramps'!$A$11:$BN$18,MATCH(Summary!O$1,'IA1-Final Void inc Ramps'!$A$9:$BN$9,1),FALSE),0)</f>
        <v>433.27699999999999</v>
      </c>
      <c r="P14" s="51">
        <f>IFERROR(VLOOKUP($B14,'RA1- Elevated Dumps Upper'!$A$11:$BN$18,MATCH(Summary!P$1,'RA1- Elevated Dumps Upper'!$A$9:$BN$9,1),FALSE),0)+IFERROR(VLOOKUP($B14,'RA2-Elevated Dumps Slopes'!$A$11:$BN$18,MATCH(Summary!P$1,'RA2-Elevated Dumps Slopes'!$A$9:$BN$9,1),FALSE),0)+IFERROR(VLOOKUP($B14,'RA3-Backfilled Pits'!$A$11:$BN$18,MATCH(Summary!P$1,'RA3-Backfilled Pits'!$A$9:$BN$9,1),FALSE),0)+IFERROR(VLOOKUP($B14,'RA4-Tracks_Roads'!$A$11:$BN$18,MATCH(Summary!P$1,'RA4-Tracks_Roads'!$A$9:$BN$9,1),FALSE),0)+IFERROR(VLOOKUP($B14,'RA5-ROM'!$A$11:$BN$18,MATCH(Summary!P$1,'RA5-ROM'!$A$9:$BN$9,1),FALSE),0)+IFERROR(VLOOKUP($B14,'RA6-CHPP'!$A$11:$BN$18,MATCH(Summary!P$1,'RA6-CHPP'!$A$9:$BN$9,1),FALSE),0)+IFERROR(VLOOKUP($B14,'RA7-Mine Infrastructure Area'!$A$11:$BN$18,MATCH(Summary!P$1,'RA7-Mine Infrastructure Area'!$A$9:$BN$9,1),FALSE),0)+IFERROR(VLOOKUP($B14,'RA8-Water Management Structures'!$A$11:$BN$18,MATCH(Summary!P$1,'RA8-Water Management Structures'!$A$9:$BN$9,1),FALSE),0)+IFERROR(VLOOKUP($B14,'RA9-Codisposal Upper'!$A$11:$BN$18,MATCH(Summary!P$1,'RA9-Codisposal Upper'!$A$9:$BN$9,1),FALSE),0)+IFERROR(VLOOKUP($B14,'RA10-Codisposal Slopes'!$A$11:$BN$18,MATCH(Summary!P$1,'RA10-Codisposal Slopes'!$A$9:$BN$9,1),FALSE),0)+IFERROR(VLOOKUP($B14,'IA1-Final Void inc Ramps'!$A$11:$BN$18,MATCH(Summary!P$1,'IA1-Final Void inc Ramps'!$A$9:$BN$9,1),FALSE),0)</f>
        <v>509.03999999999996</v>
      </c>
      <c r="Q14" s="51">
        <f>IFERROR(VLOOKUP($B14,'RA1- Elevated Dumps Upper'!$A$11:$BN$18,MATCH(Summary!Q$1,'RA1- Elevated Dumps Upper'!$A$9:$BN$9,1),FALSE),0)+IFERROR(VLOOKUP($B14,'RA2-Elevated Dumps Slopes'!$A$11:$BN$18,MATCH(Summary!Q$1,'RA2-Elevated Dumps Slopes'!$A$9:$BN$9,1),FALSE),0)+IFERROR(VLOOKUP($B14,'RA3-Backfilled Pits'!$A$11:$BN$18,MATCH(Summary!Q$1,'RA3-Backfilled Pits'!$A$9:$BN$9,1),FALSE),0)+IFERROR(VLOOKUP($B14,'RA4-Tracks_Roads'!$A$11:$BN$18,MATCH(Summary!Q$1,'RA4-Tracks_Roads'!$A$9:$BN$9,1),FALSE),0)+IFERROR(VLOOKUP($B14,'RA5-ROM'!$A$11:$BN$18,MATCH(Summary!Q$1,'RA5-ROM'!$A$9:$BN$9,1),FALSE),0)+IFERROR(VLOOKUP($B14,'RA6-CHPP'!$A$11:$BN$18,MATCH(Summary!Q$1,'RA6-CHPP'!$A$9:$BN$9,1),FALSE),0)+IFERROR(VLOOKUP($B14,'RA7-Mine Infrastructure Area'!$A$11:$BN$18,MATCH(Summary!Q$1,'RA7-Mine Infrastructure Area'!$A$9:$BN$9,1),FALSE),0)+IFERROR(VLOOKUP($B14,'RA8-Water Management Structures'!$A$11:$BN$18,MATCH(Summary!Q$1,'RA8-Water Management Structures'!$A$9:$BN$9,1),FALSE),0)+IFERROR(VLOOKUP($B14,'RA9-Codisposal Upper'!$A$11:$BN$18,MATCH(Summary!Q$1,'RA9-Codisposal Upper'!$A$9:$BN$9,1),FALSE),0)+IFERROR(VLOOKUP($B14,'RA10-Codisposal Slopes'!$A$11:$BN$18,MATCH(Summary!Q$1,'RA10-Codisposal Slopes'!$A$9:$BN$9,1),FALSE),0)+IFERROR(VLOOKUP($B14,'IA1-Final Void inc Ramps'!$A$11:$BN$18,MATCH(Summary!Q$1,'IA1-Final Void inc Ramps'!$A$9:$BN$9,1),FALSE),0)</f>
        <v>543.51400000000001</v>
      </c>
      <c r="R14" s="51">
        <f>IFERROR(VLOOKUP($B14,'RA1- Elevated Dumps Upper'!$A$11:$BN$18,MATCH(Summary!R$1,'RA1- Elevated Dumps Upper'!$A$9:$BN$9,1),FALSE),0)+IFERROR(VLOOKUP($B14,'RA2-Elevated Dumps Slopes'!$A$11:$BN$18,MATCH(Summary!R$1,'RA2-Elevated Dumps Slopes'!$A$9:$BN$9,1),FALSE),0)+IFERROR(VLOOKUP($B14,'RA3-Backfilled Pits'!$A$11:$BN$18,MATCH(Summary!R$1,'RA3-Backfilled Pits'!$A$9:$BN$9,1),FALSE),0)+IFERROR(VLOOKUP($B14,'RA4-Tracks_Roads'!$A$11:$BN$18,MATCH(Summary!R$1,'RA4-Tracks_Roads'!$A$9:$BN$9,1),FALSE),0)+IFERROR(VLOOKUP($B14,'RA5-ROM'!$A$11:$BN$18,MATCH(Summary!R$1,'RA5-ROM'!$A$9:$BN$9,1),FALSE),0)+IFERROR(VLOOKUP($B14,'RA6-CHPP'!$A$11:$BN$18,MATCH(Summary!R$1,'RA6-CHPP'!$A$9:$BN$9,1),FALSE),0)+IFERROR(VLOOKUP($B14,'RA7-Mine Infrastructure Area'!$A$11:$BN$18,MATCH(Summary!R$1,'RA7-Mine Infrastructure Area'!$A$9:$BN$9,1),FALSE),0)+IFERROR(VLOOKUP($B14,'RA8-Water Management Structures'!$A$11:$BN$18,MATCH(Summary!R$1,'RA8-Water Management Structures'!$A$9:$BN$9,1),FALSE),0)+IFERROR(VLOOKUP($B14,'RA9-Codisposal Upper'!$A$11:$BN$18,MATCH(Summary!R$1,'RA9-Codisposal Upper'!$A$9:$BN$9,1),FALSE),0)+IFERROR(VLOOKUP($B14,'RA10-Codisposal Slopes'!$A$11:$BN$18,MATCH(Summary!R$1,'RA10-Codisposal Slopes'!$A$9:$BN$9,1),FALSE),0)+IFERROR(VLOOKUP($B14,'IA1-Final Void inc Ramps'!$A$11:$BN$18,MATCH(Summary!R$1,'IA1-Final Void inc Ramps'!$A$9:$BN$9,1),FALSE),0)</f>
        <v>601.03399999999999</v>
      </c>
      <c r="S14" s="51">
        <f>IFERROR(VLOOKUP($B14,'RA1- Elevated Dumps Upper'!$A$11:$BN$18,MATCH(Summary!S$1,'RA1- Elevated Dumps Upper'!$A$9:$BN$9,1),FALSE),0)+IFERROR(VLOOKUP($B14,'RA2-Elevated Dumps Slopes'!$A$11:$BN$18,MATCH(Summary!S$1,'RA2-Elevated Dumps Slopes'!$A$9:$BN$9,1),FALSE),0)+IFERROR(VLOOKUP($B14,'RA3-Backfilled Pits'!$A$11:$BN$18,MATCH(Summary!S$1,'RA3-Backfilled Pits'!$A$9:$BN$9,1),FALSE),0)+IFERROR(VLOOKUP($B14,'RA4-Tracks_Roads'!$A$11:$BN$18,MATCH(Summary!S$1,'RA4-Tracks_Roads'!$A$9:$BN$9,1),FALSE),0)+IFERROR(VLOOKUP($B14,'RA5-ROM'!$A$11:$BN$18,MATCH(Summary!S$1,'RA5-ROM'!$A$9:$BN$9,1),FALSE),0)+IFERROR(VLOOKUP($B14,'RA6-CHPP'!$A$11:$BN$18,MATCH(Summary!S$1,'RA6-CHPP'!$A$9:$BN$9,1),FALSE),0)+IFERROR(VLOOKUP($B14,'RA7-Mine Infrastructure Area'!$A$11:$BN$18,MATCH(Summary!S$1,'RA7-Mine Infrastructure Area'!$A$9:$BN$9,1),FALSE),0)+IFERROR(VLOOKUP($B14,'RA8-Water Management Structures'!$A$11:$BN$18,MATCH(Summary!S$1,'RA8-Water Management Structures'!$A$9:$BN$9,1),FALSE),0)+IFERROR(VLOOKUP($B14,'RA9-Codisposal Upper'!$A$11:$BN$18,MATCH(Summary!S$1,'RA9-Codisposal Upper'!$A$9:$BN$9,1),FALSE),0)+IFERROR(VLOOKUP($B14,'RA10-Codisposal Slopes'!$A$11:$BN$18,MATCH(Summary!S$1,'RA10-Codisposal Slopes'!$A$9:$BN$9,1),FALSE),0)+IFERROR(VLOOKUP($B14,'IA1-Final Void inc Ramps'!$A$11:$BN$18,MATCH(Summary!S$1,'IA1-Final Void inc Ramps'!$A$9:$BN$9,1),FALSE),0)</f>
        <v>657.9899999999999</v>
      </c>
      <c r="T14" s="51">
        <f>IFERROR(VLOOKUP($B14,'RA1- Elevated Dumps Upper'!$A$11:$BN$18,MATCH(Summary!T$1,'RA1- Elevated Dumps Upper'!$A$9:$BN$9,1),FALSE),0)+IFERROR(VLOOKUP($B14,'RA2-Elevated Dumps Slopes'!$A$11:$BN$18,MATCH(Summary!T$1,'RA2-Elevated Dumps Slopes'!$A$9:$BN$9,1),FALSE),0)+IFERROR(VLOOKUP($B14,'RA3-Backfilled Pits'!$A$11:$BN$18,MATCH(Summary!T$1,'RA3-Backfilled Pits'!$A$9:$BN$9,1),FALSE),0)+IFERROR(VLOOKUP($B14,'RA4-Tracks_Roads'!$A$11:$BN$18,MATCH(Summary!T$1,'RA4-Tracks_Roads'!$A$9:$BN$9,1),FALSE),0)+IFERROR(VLOOKUP($B14,'RA5-ROM'!$A$11:$BN$18,MATCH(Summary!T$1,'RA5-ROM'!$A$9:$BN$9,1),FALSE),0)+IFERROR(VLOOKUP($B14,'RA6-CHPP'!$A$11:$BN$18,MATCH(Summary!T$1,'RA6-CHPP'!$A$9:$BN$9,1),FALSE),0)+IFERROR(VLOOKUP($B14,'RA7-Mine Infrastructure Area'!$A$11:$BN$18,MATCH(Summary!T$1,'RA7-Mine Infrastructure Area'!$A$9:$BN$9,1),FALSE),0)+IFERROR(VLOOKUP($B14,'RA8-Water Management Structures'!$A$11:$BN$18,MATCH(Summary!T$1,'RA8-Water Management Structures'!$A$9:$BN$9,1),FALSE),0)+IFERROR(VLOOKUP($B14,'RA9-Codisposal Upper'!$A$11:$BN$18,MATCH(Summary!T$1,'RA9-Codisposal Upper'!$A$9:$BN$9,1),FALSE),0)+IFERROR(VLOOKUP($B14,'RA10-Codisposal Slopes'!$A$11:$BN$18,MATCH(Summary!T$1,'RA10-Codisposal Slopes'!$A$9:$BN$9,1),FALSE),0)+IFERROR(VLOOKUP($B14,'IA1-Final Void inc Ramps'!$A$11:$BN$18,MATCH(Summary!T$1,'IA1-Final Void inc Ramps'!$A$9:$BN$9,1),FALSE),0)</f>
        <v>680.76199999999994</v>
      </c>
      <c r="U14" s="51">
        <f>IFERROR(VLOOKUP($B14,'RA1- Elevated Dumps Upper'!$A$11:$BN$18,MATCH(Summary!U$1,'RA1- Elevated Dumps Upper'!$A$9:$BN$9,1),FALSE),0)+IFERROR(VLOOKUP($B14,'RA2-Elevated Dumps Slopes'!$A$11:$BN$18,MATCH(Summary!U$1,'RA2-Elevated Dumps Slopes'!$A$9:$BN$9,1),FALSE),0)+IFERROR(VLOOKUP($B14,'RA3-Backfilled Pits'!$A$11:$BN$18,MATCH(Summary!U$1,'RA3-Backfilled Pits'!$A$9:$BN$9,1),FALSE),0)+IFERROR(VLOOKUP($B14,'RA4-Tracks_Roads'!$A$11:$BN$18,MATCH(Summary!U$1,'RA4-Tracks_Roads'!$A$9:$BN$9,1),FALSE),0)+IFERROR(VLOOKUP($B14,'RA5-ROM'!$A$11:$BN$18,MATCH(Summary!U$1,'RA5-ROM'!$A$9:$BN$9,1),FALSE),0)+IFERROR(VLOOKUP($B14,'RA6-CHPP'!$A$11:$BN$18,MATCH(Summary!U$1,'RA6-CHPP'!$A$9:$BN$9,1),FALSE),0)+IFERROR(VLOOKUP($B14,'RA7-Mine Infrastructure Area'!$A$11:$BN$18,MATCH(Summary!U$1,'RA7-Mine Infrastructure Area'!$A$9:$BN$9,1),FALSE),0)+IFERROR(VLOOKUP($B14,'RA8-Water Management Structures'!$A$11:$BN$18,MATCH(Summary!U$1,'RA8-Water Management Structures'!$A$9:$BN$9,1),FALSE),0)+IFERROR(VLOOKUP($B14,'RA9-Codisposal Upper'!$A$11:$BN$18,MATCH(Summary!U$1,'RA9-Codisposal Upper'!$A$9:$BN$9,1),FALSE),0)+IFERROR(VLOOKUP($B14,'RA10-Codisposal Slopes'!$A$11:$BN$18,MATCH(Summary!U$1,'RA10-Codisposal Slopes'!$A$9:$BN$9,1),FALSE),0)+IFERROR(VLOOKUP($B14,'IA1-Final Void inc Ramps'!$A$11:$BN$18,MATCH(Summary!U$1,'IA1-Final Void inc Ramps'!$A$9:$BN$9,1),FALSE),0)</f>
        <v>701.06399999999985</v>
      </c>
      <c r="V14" s="51">
        <f>IFERROR(VLOOKUP($B14,'RA1- Elevated Dumps Upper'!$A$11:$BN$18,MATCH(Summary!V$1,'RA1- Elevated Dumps Upper'!$A$9:$BN$9,1),FALSE),0)+IFERROR(VLOOKUP($B14,'RA2-Elevated Dumps Slopes'!$A$11:$BN$18,MATCH(Summary!V$1,'RA2-Elevated Dumps Slopes'!$A$9:$BN$9,1),FALSE),0)+IFERROR(VLOOKUP($B14,'RA3-Backfilled Pits'!$A$11:$BN$18,MATCH(Summary!V$1,'RA3-Backfilled Pits'!$A$9:$BN$9,1),FALSE),0)+IFERROR(VLOOKUP($B14,'RA4-Tracks_Roads'!$A$11:$BN$18,MATCH(Summary!V$1,'RA4-Tracks_Roads'!$A$9:$BN$9,1),FALSE),0)+IFERROR(VLOOKUP($B14,'RA5-ROM'!$A$11:$BN$18,MATCH(Summary!V$1,'RA5-ROM'!$A$9:$BN$9,1),FALSE),0)+IFERROR(VLOOKUP($B14,'RA6-CHPP'!$A$11:$BN$18,MATCH(Summary!V$1,'RA6-CHPP'!$A$9:$BN$9,1),FALSE),0)+IFERROR(VLOOKUP($B14,'RA7-Mine Infrastructure Area'!$A$11:$BN$18,MATCH(Summary!V$1,'RA7-Mine Infrastructure Area'!$A$9:$BN$9,1),FALSE),0)+IFERROR(VLOOKUP($B14,'RA8-Water Management Structures'!$A$11:$BN$18,MATCH(Summary!V$1,'RA8-Water Management Structures'!$A$9:$BN$9,1),FALSE),0)+IFERROR(VLOOKUP($B14,'RA9-Codisposal Upper'!$A$11:$BN$18,MATCH(Summary!V$1,'RA9-Codisposal Upper'!$A$9:$BN$9,1),FALSE),0)+IFERROR(VLOOKUP($B14,'RA10-Codisposal Slopes'!$A$11:$BN$18,MATCH(Summary!V$1,'RA10-Codisposal Slopes'!$A$9:$BN$9,1),FALSE),0)+IFERROR(VLOOKUP($B14,'IA1-Final Void inc Ramps'!$A$11:$BN$18,MATCH(Summary!V$1,'IA1-Final Void inc Ramps'!$A$9:$BN$9,1),FALSE),0)</f>
        <v>701.06399999999985</v>
      </c>
      <c r="W14" s="51">
        <f>IFERROR(VLOOKUP($B14,'RA1- Elevated Dumps Upper'!$A$11:$BN$18,MATCH(Summary!W$1,'RA1- Elevated Dumps Upper'!$A$9:$BN$9,1),FALSE),0)+IFERROR(VLOOKUP($B14,'RA2-Elevated Dumps Slopes'!$A$11:$BN$18,MATCH(Summary!W$1,'RA2-Elevated Dumps Slopes'!$A$9:$BN$9,1),FALSE),0)+IFERROR(VLOOKUP($B14,'RA3-Backfilled Pits'!$A$11:$BN$18,MATCH(Summary!W$1,'RA3-Backfilled Pits'!$A$9:$BN$9,1),FALSE),0)+IFERROR(VLOOKUP($B14,'RA4-Tracks_Roads'!$A$11:$BN$18,MATCH(Summary!W$1,'RA4-Tracks_Roads'!$A$9:$BN$9,1),FALSE),0)+IFERROR(VLOOKUP($B14,'RA5-ROM'!$A$11:$BN$18,MATCH(Summary!W$1,'RA5-ROM'!$A$9:$BN$9,1),FALSE),0)+IFERROR(VLOOKUP($B14,'RA6-CHPP'!$A$11:$BN$18,MATCH(Summary!W$1,'RA6-CHPP'!$A$9:$BN$9,1),FALSE),0)+IFERROR(VLOOKUP($B14,'RA7-Mine Infrastructure Area'!$A$11:$BN$18,MATCH(Summary!W$1,'RA7-Mine Infrastructure Area'!$A$9:$BN$9,1),FALSE),0)+IFERROR(VLOOKUP($B14,'RA8-Water Management Structures'!$A$11:$BN$18,MATCH(Summary!W$1,'RA8-Water Management Structures'!$A$9:$BN$9,1),FALSE),0)+IFERROR(VLOOKUP($B14,'RA9-Codisposal Upper'!$A$11:$BN$18,MATCH(Summary!W$1,'RA9-Codisposal Upper'!$A$9:$BN$9,1),FALSE),0)+IFERROR(VLOOKUP($B14,'RA10-Codisposal Slopes'!$A$11:$BN$18,MATCH(Summary!W$1,'RA10-Codisposal Slopes'!$A$9:$BN$9,1),FALSE),0)+IFERROR(VLOOKUP($B14,'IA1-Final Void inc Ramps'!$A$11:$BN$18,MATCH(Summary!W$1,'IA1-Final Void inc Ramps'!$A$9:$BN$9,1),FALSE),0)</f>
        <v>725.3119999999999</v>
      </c>
      <c r="X14" s="51">
        <f>IFERROR(VLOOKUP($B14,'RA1- Elevated Dumps Upper'!$A$11:$BN$18,MATCH(Summary!X$1,'RA1- Elevated Dumps Upper'!$A$9:$BN$9,1),FALSE),0)+IFERROR(VLOOKUP($B14,'RA2-Elevated Dumps Slopes'!$A$11:$BN$18,MATCH(Summary!X$1,'RA2-Elevated Dumps Slopes'!$A$9:$BN$9,1),FALSE),0)+IFERROR(VLOOKUP($B14,'RA3-Backfilled Pits'!$A$11:$BN$18,MATCH(Summary!X$1,'RA3-Backfilled Pits'!$A$9:$BN$9,1),FALSE),0)+IFERROR(VLOOKUP($B14,'RA4-Tracks_Roads'!$A$11:$BN$18,MATCH(Summary!X$1,'RA4-Tracks_Roads'!$A$9:$BN$9,1),FALSE),0)+IFERROR(VLOOKUP($B14,'RA5-ROM'!$A$11:$BN$18,MATCH(Summary!X$1,'RA5-ROM'!$A$9:$BN$9,1),FALSE),0)+IFERROR(VLOOKUP($B14,'RA6-CHPP'!$A$11:$BN$18,MATCH(Summary!X$1,'RA6-CHPP'!$A$9:$BN$9,1),FALSE),0)+IFERROR(VLOOKUP($B14,'RA7-Mine Infrastructure Area'!$A$11:$BN$18,MATCH(Summary!X$1,'RA7-Mine Infrastructure Area'!$A$9:$BN$9,1),FALSE),0)+IFERROR(VLOOKUP($B14,'RA8-Water Management Structures'!$A$11:$BN$18,MATCH(Summary!X$1,'RA8-Water Management Structures'!$A$9:$BN$9,1),FALSE),0)+IFERROR(VLOOKUP($B14,'RA9-Codisposal Upper'!$A$11:$BN$18,MATCH(Summary!X$1,'RA9-Codisposal Upper'!$A$9:$BN$9,1),FALSE),0)+IFERROR(VLOOKUP($B14,'RA10-Codisposal Slopes'!$A$11:$BN$18,MATCH(Summary!X$1,'RA10-Codisposal Slopes'!$A$9:$BN$9,1),FALSE),0)+IFERROR(VLOOKUP($B14,'IA1-Final Void inc Ramps'!$A$11:$BN$18,MATCH(Summary!X$1,'IA1-Final Void inc Ramps'!$A$9:$BN$9,1),FALSE),0)</f>
        <v>759.93</v>
      </c>
      <c r="Y14" s="51">
        <f>IFERROR(VLOOKUP($B14,'RA1- Elevated Dumps Upper'!$A$11:$BN$18,MATCH(Summary!Y$1,'RA1- Elevated Dumps Upper'!$A$9:$BN$9,1),FALSE),0)+IFERROR(VLOOKUP($B14,'RA2-Elevated Dumps Slopes'!$A$11:$BN$18,MATCH(Summary!Y$1,'RA2-Elevated Dumps Slopes'!$A$9:$BN$9,1),FALSE),0)+IFERROR(VLOOKUP($B14,'RA3-Backfilled Pits'!$A$11:$BN$18,MATCH(Summary!Y$1,'RA3-Backfilled Pits'!$A$9:$BN$9,1),FALSE),0)+IFERROR(VLOOKUP($B14,'RA4-Tracks_Roads'!$A$11:$BN$18,MATCH(Summary!Y$1,'RA4-Tracks_Roads'!$A$9:$BN$9,1),FALSE),0)+IFERROR(VLOOKUP($B14,'RA5-ROM'!$A$11:$BN$18,MATCH(Summary!Y$1,'RA5-ROM'!$A$9:$BN$9,1),FALSE),0)+IFERROR(VLOOKUP($B14,'RA6-CHPP'!$A$11:$BN$18,MATCH(Summary!Y$1,'RA6-CHPP'!$A$9:$BN$9,1),FALSE),0)+IFERROR(VLOOKUP($B14,'RA7-Mine Infrastructure Area'!$A$11:$BN$18,MATCH(Summary!Y$1,'RA7-Mine Infrastructure Area'!$A$9:$BN$9,1),FALSE),0)+IFERROR(VLOOKUP($B14,'RA8-Water Management Structures'!$A$11:$BN$18,MATCH(Summary!Y$1,'RA8-Water Management Structures'!$A$9:$BN$9,1),FALSE),0)+IFERROR(VLOOKUP($B14,'RA9-Codisposal Upper'!$A$11:$BN$18,MATCH(Summary!Y$1,'RA9-Codisposal Upper'!$A$9:$BN$9,1),FALSE),0)+IFERROR(VLOOKUP($B14,'RA10-Codisposal Slopes'!$A$11:$BN$18,MATCH(Summary!Y$1,'RA10-Codisposal Slopes'!$A$9:$BN$9,1),FALSE),0)+IFERROR(VLOOKUP($B14,'IA1-Final Void inc Ramps'!$A$11:$BN$18,MATCH(Summary!Y$1,'IA1-Final Void inc Ramps'!$A$9:$BN$9,1),FALSE),0)</f>
        <v>825.22</v>
      </c>
      <c r="Z14" s="51">
        <f>IFERROR(VLOOKUP($B14,'RA1- Elevated Dumps Upper'!$A$11:$BN$18,MATCH(Summary!Z$1,'RA1- Elevated Dumps Upper'!$A$9:$BN$9,1),FALSE),0)+IFERROR(VLOOKUP($B14,'RA2-Elevated Dumps Slopes'!$A$11:$BN$18,MATCH(Summary!Z$1,'RA2-Elevated Dumps Slopes'!$A$9:$BN$9,1),FALSE),0)+IFERROR(VLOOKUP($B14,'RA3-Backfilled Pits'!$A$11:$BN$18,MATCH(Summary!Z$1,'RA3-Backfilled Pits'!$A$9:$BN$9,1),FALSE),0)+IFERROR(VLOOKUP($B14,'RA4-Tracks_Roads'!$A$11:$BN$18,MATCH(Summary!Z$1,'RA4-Tracks_Roads'!$A$9:$BN$9,1),FALSE),0)+IFERROR(VLOOKUP($B14,'RA5-ROM'!$A$11:$BN$18,MATCH(Summary!Z$1,'RA5-ROM'!$A$9:$BN$9,1),FALSE),0)+IFERROR(VLOOKUP($B14,'RA6-CHPP'!$A$11:$BN$18,MATCH(Summary!Z$1,'RA6-CHPP'!$A$9:$BN$9,1),FALSE),0)+IFERROR(VLOOKUP($B14,'RA7-Mine Infrastructure Area'!$A$11:$BN$18,MATCH(Summary!Z$1,'RA7-Mine Infrastructure Area'!$A$9:$BN$9,1),FALSE),0)+IFERROR(VLOOKUP($B14,'RA8-Water Management Structures'!$A$11:$BN$18,MATCH(Summary!Z$1,'RA8-Water Management Structures'!$A$9:$BN$9,1),FALSE),0)+IFERROR(VLOOKUP($B14,'RA9-Codisposal Upper'!$A$11:$BN$18,MATCH(Summary!Z$1,'RA9-Codisposal Upper'!$A$9:$BN$9,1),FALSE),0)+IFERROR(VLOOKUP($B14,'RA10-Codisposal Slopes'!$A$11:$BN$18,MATCH(Summary!Z$1,'RA10-Codisposal Slopes'!$A$9:$BN$9,1),FALSE),0)+IFERROR(VLOOKUP($B14,'IA1-Final Void inc Ramps'!$A$11:$BN$18,MATCH(Summary!Z$1,'IA1-Final Void inc Ramps'!$A$9:$BN$9,1),FALSE),0)</f>
        <v>860.49299999999994</v>
      </c>
      <c r="AA14" s="51">
        <f>IFERROR(VLOOKUP($B14,'RA1- Elevated Dumps Upper'!$A$11:$BN$18,MATCH(Summary!AA$1,'RA1- Elevated Dumps Upper'!$A$9:$BN$9,1),FALSE),0)+IFERROR(VLOOKUP($B14,'RA2-Elevated Dumps Slopes'!$A$11:$BN$18,MATCH(Summary!AA$1,'RA2-Elevated Dumps Slopes'!$A$9:$BN$9,1),FALSE),0)+IFERROR(VLOOKUP($B14,'RA3-Backfilled Pits'!$A$11:$BN$18,MATCH(Summary!AA$1,'RA3-Backfilled Pits'!$A$9:$BN$9,1),FALSE),0)+IFERROR(VLOOKUP($B14,'RA4-Tracks_Roads'!$A$11:$BN$18,MATCH(Summary!AA$1,'RA4-Tracks_Roads'!$A$9:$BN$9,1),FALSE),0)+IFERROR(VLOOKUP($B14,'RA5-ROM'!$A$11:$BN$18,MATCH(Summary!AA$1,'RA5-ROM'!$A$9:$BN$9,1),FALSE),0)+IFERROR(VLOOKUP($B14,'RA6-CHPP'!$A$11:$BN$18,MATCH(Summary!AA$1,'RA6-CHPP'!$A$9:$BN$9,1),FALSE),0)+IFERROR(VLOOKUP($B14,'RA7-Mine Infrastructure Area'!$A$11:$BN$18,MATCH(Summary!AA$1,'RA7-Mine Infrastructure Area'!$A$9:$BN$9,1),FALSE),0)+IFERROR(VLOOKUP($B14,'RA8-Water Management Structures'!$A$11:$BN$18,MATCH(Summary!AA$1,'RA8-Water Management Structures'!$A$9:$BN$9,1),FALSE),0)+IFERROR(VLOOKUP($B14,'RA9-Codisposal Upper'!$A$11:$BN$18,MATCH(Summary!AA$1,'RA9-Codisposal Upper'!$A$9:$BN$9,1),FALSE),0)+IFERROR(VLOOKUP($B14,'RA10-Codisposal Slopes'!$A$11:$BN$18,MATCH(Summary!AA$1,'RA10-Codisposal Slopes'!$A$9:$BN$9,1),FALSE),0)+IFERROR(VLOOKUP($B14,'IA1-Final Void inc Ramps'!$A$11:$BN$18,MATCH(Summary!AA$1,'IA1-Final Void inc Ramps'!$A$9:$BN$9,1),FALSE),0)</f>
        <v>860.49299999999994</v>
      </c>
      <c r="AB14" s="51">
        <f>IFERROR(VLOOKUP($B14,'RA1- Elevated Dumps Upper'!$A$11:$BN$18,MATCH(Summary!AB$1,'RA1- Elevated Dumps Upper'!$A$9:$BN$9,1),FALSE),0)+IFERROR(VLOOKUP($B14,'RA2-Elevated Dumps Slopes'!$A$11:$BN$18,MATCH(Summary!AB$1,'RA2-Elevated Dumps Slopes'!$A$9:$BN$9,1),FALSE),0)+IFERROR(VLOOKUP($B14,'RA3-Backfilled Pits'!$A$11:$BN$18,MATCH(Summary!AB$1,'RA3-Backfilled Pits'!$A$9:$BN$9,1),FALSE),0)+IFERROR(VLOOKUP($B14,'RA4-Tracks_Roads'!$A$11:$BN$18,MATCH(Summary!AB$1,'RA4-Tracks_Roads'!$A$9:$BN$9,1),FALSE),0)+IFERROR(VLOOKUP($B14,'RA5-ROM'!$A$11:$BN$18,MATCH(Summary!AB$1,'RA5-ROM'!$A$9:$BN$9,1),FALSE),0)+IFERROR(VLOOKUP($B14,'RA6-CHPP'!$A$11:$BN$18,MATCH(Summary!AB$1,'RA6-CHPP'!$A$9:$BN$9,1),FALSE),0)+IFERROR(VLOOKUP($B14,'RA7-Mine Infrastructure Area'!$A$11:$BN$18,MATCH(Summary!AB$1,'RA7-Mine Infrastructure Area'!$A$9:$BN$9,1),FALSE),0)+IFERROR(VLOOKUP($B14,'RA8-Water Management Structures'!$A$11:$BN$18,MATCH(Summary!AB$1,'RA8-Water Management Structures'!$A$9:$BN$9,1),FALSE),0)+IFERROR(VLOOKUP($B14,'RA9-Codisposal Upper'!$A$11:$BN$18,MATCH(Summary!AB$1,'RA9-Codisposal Upper'!$A$9:$BN$9,1),FALSE),0)+IFERROR(VLOOKUP($B14,'RA10-Codisposal Slopes'!$A$11:$BN$18,MATCH(Summary!AB$1,'RA10-Codisposal Slopes'!$A$9:$BN$9,1),FALSE),0)+IFERROR(VLOOKUP($B14,'IA1-Final Void inc Ramps'!$A$11:$BN$18,MATCH(Summary!AB$1,'IA1-Final Void inc Ramps'!$A$9:$BN$9,1),FALSE),0)</f>
        <v>860.49299999999994</v>
      </c>
      <c r="AC14" s="51">
        <f>IFERROR(VLOOKUP($B14,'RA1- Elevated Dumps Upper'!$A$11:$BN$18,MATCH(Summary!AC$1,'RA1- Elevated Dumps Upper'!$A$9:$BN$9,1),FALSE),0)+IFERROR(VLOOKUP($B14,'RA2-Elevated Dumps Slopes'!$A$11:$BN$18,MATCH(Summary!AC$1,'RA2-Elevated Dumps Slopes'!$A$9:$BN$9,1),FALSE),0)+IFERROR(VLOOKUP($B14,'RA3-Backfilled Pits'!$A$11:$BN$18,MATCH(Summary!AC$1,'RA3-Backfilled Pits'!$A$9:$BN$9,1),FALSE),0)+IFERROR(VLOOKUP($B14,'RA4-Tracks_Roads'!$A$11:$BN$18,MATCH(Summary!AC$1,'RA4-Tracks_Roads'!$A$9:$BN$9,1),FALSE),0)+IFERROR(VLOOKUP($B14,'RA5-ROM'!$A$11:$BN$18,MATCH(Summary!AC$1,'RA5-ROM'!$A$9:$BN$9,1),FALSE),0)+IFERROR(VLOOKUP($B14,'RA6-CHPP'!$A$11:$BN$18,MATCH(Summary!AC$1,'RA6-CHPP'!$A$9:$BN$9,1),FALSE),0)+IFERROR(VLOOKUP($B14,'RA7-Mine Infrastructure Area'!$A$11:$BN$18,MATCH(Summary!AC$1,'RA7-Mine Infrastructure Area'!$A$9:$BN$9,1),FALSE),0)+IFERROR(VLOOKUP($B14,'RA8-Water Management Structures'!$A$11:$BN$18,MATCH(Summary!AC$1,'RA8-Water Management Structures'!$A$9:$BN$9,1),FALSE),0)+IFERROR(VLOOKUP($B14,'RA9-Codisposal Upper'!$A$11:$BN$18,MATCH(Summary!AC$1,'RA9-Codisposal Upper'!$A$9:$BN$9,1),FALSE),0)+IFERROR(VLOOKUP($B14,'RA10-Codisposal Slopes'!$A$11:$BN$18,MATCH(Summary!AC$1,'RA10-Codisposal Slopes'!$A$9:$BN$9,1),FALSE),0)+IFERROR(VLOOKUP($B14,'IA1-Final Void inc Ramps'!$A$11:$BN$18,MATCH(Summary!AC$1,'IA1-Final Void inc Ramps'!$A$9:$BN$9,1),FALSE),0)</f>
        <v>895.03099999999995</v>
      </c>
      <c r="AD14" s="51">
        <f>IFERROR(VLOOKUP($B14,'RA1- Elevated Dumps Upper'!$A$11:$BN$18,MATCH(Summary!AD$1,'RA1- Elevated Dumps Upper'!$A$9:$BN$9,1),FALSE),0)+IFERROR(VLOOKUP($B14,'RA2-Elevated Dumps Slopes'!$A$11:$BN$18,MATCH(Summary!AD$1,'RA2-Elevated Dumps Slopes'!$A$9:$BN$9,1),FALSE),0)+IFERROR(VLOOKUP($B14,'RA3-Backfilled Pits'!$A$11:$BN$18,MATCH(Summary!AD$1,'RA3-Backfilled Pits'!$A$9:$BN$9,1),FALSE),0)+IFERROR(VLOOKUP($B14,'RA4-Tracks_Roads'!$A$11:$BN$18,MATCH(Summary!AD$1,'RA4-Tracks_Roads'!$A$9:$BN$9,1),FALSE),0)+IFERROR(VLOOKUP($B14,'RA5-ROM'!$A$11:$BN$18,MATCH(Summary!AD$1,'RA5-ROM'!$A$9:$BN$9,1),FALSE),0)+IFERROR(VLOOKUP($B14,'RA6-CHPP'!$A$11:$BN$18,MATCH(Summary!AD$1,'RA6-CHPP'!$A$9:$BN$9,1),FALSE),0)+IFERROR(VLOOKUP($B14,'RA7-Mine Infrastructure Area'!$A$11:$BN$18,MATCH(Summary!AD$1,'RA7-Mine Infrastructure Area'!$A$9:$BN$9,1),FALSE),0)+IFERROR(VLOOKUP($B14,'RA8-Water Management Structures'!$A$11:$BN$18,MATCH(Summary!AD$1,'RA8-Water Management Structures'!$A$9:$BN$9,1),FALSE),0)+IFERROR(VLOOKUP($B14,'RA9-Codisposal Upper'!$A$11:$BN$18,MATCH(Summary!AD$1,'RA9-Codisposal Upper'!$A$9:$BN$9,1),FALSE),0)+IFERROR(VLOOKUP($B14,'RA10-Codisposal Slopes'!$A$11:$BN$18,MATCH(Summary!AD$1,'RA10-Codisposal Slopes'!$A$9:$BN$9,1),FALSE),0)+IFERROR(VLOOKUP($B14,'IA1-Final Void inc Ramps'!$A$11:$BN$18,MATCH(Summary!AD$1,'IA1-Final Void inc Ramps'!$A$9:$BN$9,1),FALSE),0)</f>
        <v>895.03099999999995</v>
      </c>
      <c r="AE14" s="51">
        <f>IFERROR(VLOOKUP($B14,'RA1- Elevated Dumps Upper'!$A$11:$BN$18,MATCH(Summary!AE$1,'RA1- Elevated Dumps Upper'!$A$9:$BN$9,1),FALSE),0)+IFERROR(VLOOKUP($B14,'RA2-Elevated Dumps Slopes'!$A$11:$BN$18,MATCH(Summary!AE$1,'RA2-Elevated Dumps Slopes'!$A$9:$BN$9,1),FALSE),0)+IFERROR(VLOOKUP($B14,'RA3-Backfilled Pits'!$A$11:$BN$18,MATCH(Summary!AE$1,'RA3-Backfilled Pits'!$A$9:$BN$9,1),FALSE),0)+IFERROR(VLOOKUP($B14,'RA4-Tracks_Roads'!$A$11:$BN$18,MATCH(Summary!AE$1,'RA4-Tracks_Roads'!$A$9:$BN$9,1),FALSE),0)+IFERROR(VLOOKUP($B14,'RA5-ROM'!$A$11:$BN$18,MATCH(Summary!AE$1,'RA5-ROM'!$A$9:$BN$9,1),FALSE),0)+IFERROR(VLOOKUP($B14,'RA6-CHPP'!$A$11:$BN$18,MATCH(Summary!AE$1,'RA6-CHPP'!$A$9:$BN$9,1),FALSE),0)+IFERROR(VLOOKUP($B14,'RA7-Mine Infrastructure Area'!$A$11:$BN$18,MATCH(Summary!AE$1,'RA7-Mine Infrastructure Area'!$A$9:$BN$9,1),FALSE),0)+IFERROR(VLOOKUP($B14,'RA8-Water Management Structures'!$A$11:$BN$18,MATCH(Summary!AE$1,'RA8-Water Management Structures'!$A$9:$BN$9,1),FALSE),0)+IFERROR(VLOOKUP($B14,'RA9-Codisposal Upper'!$A$11:$BN$18,MATCH(Summary!AE$1,'RA9-Codisposal Upper'!$A$9:$BN$9,1),FALSE),0)+IFERROR(VLOOKUP($B14,'RA10-Codisposal Slopes'!$A$11:$BN$18,MATCH(Summary!AE$1,'RA10-Codisposal Slopes'!$A$9:$BN$9,1),FALSE),0)+IFERROR(VLOOKUP($B14,'IA1-Final Void inc Ramps'!$A$11:$BN$18,MATCH(Summary!AE$1,'IA1-Final Void inc Ramps'!$A$9:$BN$9,1),FALSE),0)</f>
        <v>895.03099999999995</v>
      </c>
      <c r="AF14" s="51">
        <f>IFERROR(VLOOKUP($B14,'RA1- Elevated Dumps Upper'!$A$11:$BN$18,MATCH(Summary!AF$1,'RA1- Elevated Dumps Upper'!$A$9:$BN$9,1),FALSE),0)+IFERROR(VLOOKUP($B14,'RA2-Elevated Dumps Slopes'!$A$11:$BN$18,MATCH(Summary!AF$1,'RA2-Elevated Dumps Slopes'!$A$9:$BN$9,1),FALSE),0)+IFERROR(VLOOKUP($B14,'RA3-Backfilled Pits'!$A$11:$BN$18,MATCH(Summary!AF$1,'RA3-Backfilled Pits'!$A$9:$BN$9,1),FALSE),0)+IFERROR(VLOOKUP($B14,'RA4-Tracks_Roads'!$A$11:$BN$18,MATCH(Summary!AF$1,'RA4-Tracks_Roads'!$A$9:$BN$9,1),FALSE),0)+IFERROR(VLOOKUP($B14,'RA5-ROM'!$A$11:$BN$18,MATCH(Summary!AF$1,'RA5-ROM'!$A$9:$BN$9,1),FALSE),0)+IFERROR(VLOOKUP($B14,'RA6-CHPP'!$A$11:$BN$18,MATCH(Summary!AF$1,'RA6-CHPP'!$A$9:$BN$9,1),FALSE),0)+IFERROR(VLOOKUP($B14,'RA7-Mine Infrastructure Area'!$A$11:$BN$18,MATCH(Summary!AF$1,'RA7-Mine Infrastructure Area'!$A$9:$BN$9,1),FALSE),0)+IFERROR(VLOOKUP($B14,'RA8-Water Management Structures'!$A$11:$BN$18,MATCH(Summary!AF$1,'RA8-Water Management Structures'!$A$9:$BN$9,1),FALSE),0)+IFERROR(VLOOKUP($B14,'RA9-Codisposal Upper'!$A$11:$BN$18,MATCH(Summary!AF$1,'RA9-Codisposal Upper'!$A$9:$BN$9,1),FALSE),0)+IFERROR(VLOOKUP($B14,'RA10-Codisposal Slopes'!$A$11:$BN$18,MATCH(Summary!AF$1,'RA10-Codisposal Slopes'!$A$9:$BN$9,1),FALSE),0)+IFERROR(VLOOKUP($B14,'IA1-Final Void inc Ramps'!$A$11:$BN$18,MATCH(Summary!AF$1,'IA1-Final Void inc Ramps'!$A$9:$BN$9,1),FALSE),0)</f>
        <v>1204.8519999999999</v>
      </c>
      <c r="AG14" s="51">
        <f>IFERROR(VLOOKUP($B14,'RA1- Elevated Dumps Upper'!$A$11:$BN$18,MATCH(Summary!AG$1,'RA1- Elevated Dumps Upper'!$A$9:$BN$9,1),FALSE),0)+IFERROR(VLOOKUP($B14,'RA2-Elevated Dumps Slopes'!$A$11:$BN$18,MATCH(Summary!AG$1,'RA2-Elevated Dumps Slopes'!$A$9:$BN$9,1),FALSE),0)+IFERROR(VLOOKUP($B14,'RA3-Backfilled Pits'!$A$11:$BN$18,MATCH(Summary!AG$1,'RA3-Backfilled Pits'!$A$9:$BN$9,1),FALSE),0)+IFERROR(VLOOKUP($B14,'RA4-Tracks_Roads'!$A$11:$BN$18,MATCH(Summary!AG$1,'RA4-Tracks_Roads'!$A$9:$BN$9,1),FALSE),0)+IFERROR(VLOOKUP($B14,'RA5-ROM'!$A$11:$BN$18,MATCH(Summary!AG$1,'RA5-ROM'!$A$9:$BN$9,1),FALSE),0)+IFERROR(VLOOKUP($B14,'RA6-CHPP'!$A$11:$BN$18,MATCH(Summary!AG$1,'RA6-CHPP'!$A$9:$BN$9,1),FALSE),0)+IFERROR(VLOOKUP($B14,'RA7-Mine Infrastructure Area'!$A$11:$BN$18,MATCH(Summary!AG$1,'RA7-Mine Infrastructure Area'!$A$9:$BN$9,1),FALSE),0)+IFERROR(VLOOKUP($B14,'RA8-Water Management Structures'!$A$11:$BN$18,MATCH(Summary!AG$1,'RA8-Water Management Structures'!$A$9:$BN$9,1),FALSE),0)+IFERROR(VLOOKUP($B14,'RA9-Codisposal Upper'!$A$11:$BN$18,MATCH(Summary!AG$1,'RA9-Codisposal Upper'!$A$9:$BN$9,1),FALSE),0)+IFERROR(VLOOKUP($B14,'RA10-Codisposal Slopes'!$A$11:$BN$18,MATCH(Summary!AG$1,'RA10-Codisposal Slopes'!$A$9:$BN$9,1),FALSE),0)+IFERROR(VLOOKUP($B14,'IA1-Final Void inc Ramps'!$A$11:$BN$18,MATCH(Summary!AG$1,'IA1-Final Void inc Ramps'!$A$9:$BN$9,1),FALSE),0)</f>
        <v>1421.7450000000001</v>
      </c>
      <c r="AH14" s="51">
        <f>IFERROR(VLOOKUP($B14,'RA1- Elevated Dumps Upper'!$A$11:$BN$18,MATCH(Summary!AH$1,'RA1- Elevated Dumps Upper'!$A$9:$BN$9,1),FALSE),0)+IFERROR(VLOOKUP($B14,'RA2-Elevated Dumps Slopes'!$A$11:$BN$18,MATCH(Summary!AH$1,'RA2-Elevated Dumps Slopes'!$A$9:$BN$9,1),FALSE),0)+IFERROR(VLOOKUP($B14,'RA3-Backfilled Pits'!$A$11:$BN$18,MATCH(Summary!AH$1,'RA3-Backfilled Pits'!$A$9:$BN$9,1),FALSE),0)+IFERROR(VLOOKUP($B14,'RA4-Tracks_Roads'!$A$11:$BN$18,MATCH(Summary!AH$1,'RA4-Tracks_Roads'!$A$9:$BN$9,1),FALSE),0)+IFERROR(VLOOKUP($B14,'RA5-ROM'!$A$11:$BN$18,MATCH(Summary!AH$1,'RA5-ROM'!$A$9:$BN$9,1),FALSE),0)+IFERROR(VLOOKUP($B14,'RA6-CHPP'!$A$11:$BN$18,MATCH(Summary!AH$1,'RA6-CHPP'!$A$9:$BN$9,1),FALSE),0)+IFERROR(VLOOKUP($B14,'RA7-Mine Infrastructure Area'!$A$11:$BN$18,MATCH(Summary!AH$1,'RA7-Mine Infrastructure Area'!$A$9:$BN$9,1),FALSE),0)+IFERROR(VLOOKUP($B14,'RA8-Water Management Structures'!$A$11:$BN$18,MATCH(Summary!AH$1,'RA8-Water Management Structures'!$A$9:$BN$9,1),FALSE),0)+IFERROR(VLOOKUP($B14,'RA9-Codisposal Upper'!$A$11:$BN$18,MATCH(Summary!AH$1,'RA9-Codisposal Upper'!$A$9:$BN$9,1),FALSE),0)+IFERROR(VLOOKUP($B14,'RA10-Codisposal Slopes'!$A$11:$BN$18,MATCH(Summary!AH$1,'RA10-Codisposal Slopes'!$A$9:$BN$9,1),FALSE),0)+IFERROR(VLOOKUP($B14,'IA1-Final Void inc Ramps'!$A$11:$BN$18,MATCH(Summary!AH$1,'IA1-Final Void inc Ramps'!$A$9:$BN$9,1),FALSE),0)</f>
        <v>1574.6130000000001</v>
      </c>
      <c r="AI14" s="51">
        <f>IFERROR(VLOOKUP($B14,'RA1- Elevated Dumps Upper'!$A$11:$BN$18,MATCH(Summary!AI$1,'RA1- Elevated Dumps Upper'!$A$9:$BN$9,1),FALSE),0)+IFERROR(VLOOKUP($B14,'RA2-Elevated Dumps Slopes'!$A$11:$BN$18,MATCH(Summary!AI$1,'RA2-Elevated Dumps Slopes'!$A$9:$BN$9,1),FALSE),0)+IFERROR(VLOOKUP($B14,'RA3-Backfilled Pits'!$A$11:$BN$18,MATCH(Summary!AI$1,'RA3-Backfilled Pits'!$A$9:$BN$9,1),FALSE),0)+IFERROR(VLOOKUP($B14,'RA4-Tracks_Roads'!$A$11:$BN$18,MATCH(Summary!AI$1,'RA4-Tracks_Roads'!$A$9:$BN$9,1),FALSE),0)+IFERROR(VLOOKUP($B14,'RA5-ROM'!$A$11:$BN$18,MATCH(Summary!AI$1,'RA5-ROM'!$A$9:$BN$9,1),FALSE),0)+IFERROR(VLOOKUP($B14,'RA6-CHPP'!$A$11:$BN$18,MATCH(Summary!AI$1,'RA6-CHPP'!$A$9:$BN$9,1),FALSE),0)+IFERROR(VLOOKUP($B14,'RA7-Mine Infrastructure Area'!$A$11:$BN$18,MATCH(Summary!AI$1,'RA7-Mine Infrastructure Area'!$A$9:$BN$9,1),FALSE),0)+IFERROR(VLOOKUP($B14,'RA8-Water Management Structures'!$A$11:$BN$18,MATCH(Summary!AI$1,'RA8-Water Management Structures'!$A$9:$BN$9,1),FALSE),0)+IFERROR(VLOOKUP($B14,'RA9-Codisposal Upper'!$A$11:$BN$18,MATCH(Summary!AI$1,'RA9-Codisposal Upper'!$A$9:$BN$9,1),FALSE),0)+IFERROR(VLOOKUP($B14,'RA10-Codisposal Slopes'!$A$11:$BN$18,MATCH(Summary!AI$1,'RA10-Codisposal Slopes'!$A$9:$BN$9,1),FALSE),0)+IFERROR(VLOOKUP($B14,'IA1-Final Void inc Ramps'!$A$11:$BN$18,MATCH(Summary!AI$1,'IA1-Final Void inc Ramps'!$A$9:$BN$9,1),FALSE),0)</f>
        <v>1901.2130000000002</v>
      </c>
      <c r="AJ14" s="51">
        <f>IFERROR(VLOOKUP($B14,'RA1- Elevated Dumps Upper'!$A$11:$BN$18,MATCH(Summary!AJ$1,'RA1- Elevated Dumps Upper'!$A$9:$BN$9,1),FALSE),0)+IFERROR(VLOOKUP($B14,'RA2-Elevated Dumps Slopes'!$A$11:$BN$18,MATCH(Summary!AJ$1,'RA2-Elevated Dumps Slopes'!$A$9:$BN$9,1),FALSE),0)+IFERROR(VLOOKUP($B14,'RA3-Backfilled Pits'!$A$11:$BN$18,MATCH(Summary!AJ$1,'RA3-Backfilled Pits'!$A$9:$BN$9,1),FALSE),0)+IFERROR(VLOOKUP($B14,'RA4-Tracks_Roads'!$A$11:$BN$18,MATCH(Summary!AJ$1,'RA4-Tracks_Roads'!$A$9:$BN$9,1),FALSE),0)+IFERROR(VLOOKUP($B14,'RA5-ROM'!$A$11:$BN$18,MATCH(Summary!AJ$1,'RA5-ROM'!$A$9:$BN$9,1),FALSE),0)+IFERROR(VLOOKUP($B14,'RA6-CHPP'!$A$11:$BN$18,MATCH(Summary!AJ$1,'RA6-CHPP'!$A$9:$BN$9,1),FALSE),0)+IFERROR(VLOOKUP($B14,'RA7-Mine Infrastructure Area'!$A$11:$BN$18,MATCH(Summary!AJ$1,'RA7-Mine Infrastructure Area'!$A$9:$BN$9,1),FALSE),0)+IFERROR(VLOOKUP($B14,'RA8-Water Management Structures'!$A$11:$BN$18,MATCH(Summary!AJ$1,'RA8-Water Management Structures'!$A$9:$BN$9,1),FALSE),0)+IFERROR(VLOOKUP($B14,'RA9-Codisposal Upper'!$A$11:$BN$18,MATCH(Summary!AJ$1,'RA9-Codisposal Upper'!$A$9:$BN$9,1),FALSE),0)+IFERROR(VLOOKUP($B14,'RA10-Codisposal Slopes'!$A$11:$BN$18,MATCH(Summary!AJ$1,'RA10-Codisposal Slopes'!$A$9:$BN$9,1),FALSE),0)+IFERROR(VLOOKUP($B14,'IA1-Final Void inc Ramps'!$A$11:$BN$18,MATCH(Summary!AJ$1,'IA1-Final Void inc Ramps'!$A$9:$BN$9,1),FALSE),0)</f>
        <v>1901.2130000000002</v>
      </c>
      <c r="AK14" s="51">
        <f>IFERROR(VLOOKUP($B14,'RA1- Elevated Dumps Upper'!$A$11:$BN$18,MATCH(Summary!AK$1,'RA1- Elevated Dumps Upper'!$A$9:$BN$9,1),FALSE),0)+IFERROR(VLOOKUP($B14,'RA2-Elevated Dumps Slopes'!$A$11:$BN$18,MATCH(Summary!AK$1,'RA2-Elevated Dumps Slopes'!$A$9:$BN$9,1),FALSE),0)+IFERROR(VLOOKUP($B14,'RA3-Backfilled Pits'!$A$11:$BN$18,MATCH(Summary!AK$1,'RA3-Backfilled Pits'!$A$9:$BN$9,1),FALSE),0)+IFERROR(VLOOKUP($B14,'RA4-Tracks_Roads'!$A$11:$BN$18,MATCH(Summary!AK$1,'RA4-Tracks_Roads'!$A$9:$BN$9,1),FALSE),0)+IFERROR(VLOOKUP($B14,'RA5-ROM'!$A$11:$BN$18,MATCH(Summary!AK$1,'RA5-ROM'!$A$9:$BN$9,1),FALSE),0)+IFERROR(VLOOKUP($B14,'RA6-CHPP'!$A$11:$BN$18,MATCH(Summary!AK$1,'RA6-CHPP'!$A$9:$BN$9,1),FALSE),0)+IFERROR(VLOOKUP($B14,'RA7-Mine Infrastructure Area'!$A$11:$BN$18,MATCH(Summary!AK$1,'RA7-Mine Infrastructure Area'!$A$9:$BN$9,1),FALSE),0)+IFERROR(VLOOKUP($B14,'RA8-Water Management Structures'!$A$11:$BN$18,MATCH(Summary!AK$1,'RA8-Water Management Structures'!$A$9:$BN$9,1),FALSE),0)+IFERROR(VLOOKUP($B14,'RA9-Codisposal Upper'!$A$11:$BN$18,MATCH(Summary!AK$1,'RA9-Codisposal Upper'!$A$9:$BN$9,1),FALSE),0)+IFERROR(VLOOKUP($B14,'RA10-Codisposal Slopes'!$A$11:$BN$18,MATCH(Summary!AK$1,'RA10-Codisposal Slopes'!$A$9:$BN$9,1),FALSE),0)+IFERROR(VLOOKUP($B14,'IA1-Final Void inc Ramps'!$A$11:$BN$18,MATCH(Summary!AK$1,'IA1-Final Void inc Ramps'!$A$9:$BN$9,1),FALSE),0)</f>
        <v>1901.2130000000002</v>
      </c>
      <c r="AL14" s="51">
        <f>IFERROR(VLOOKUP($B14,'RA1- Elevated Dumps Upper'!$A$11:$BN$18,MATCH(Summary!AL$1,'RA1- Elevated Dumps Upper'!$A$9:$BN$9,1),FALSE),0)+IFERROR(VLOOKUP($B14,'RA2-Elevated Dumps Slopes'!$A$11:$BN$18,MATCH(Summary!AL$1,'RA2-Elevated Dumps Slopes'!$A$9:$BN$9,1),FALSE),0)+IFERROR(VLOOKUP($B14,'RA3-Backfilled Pits'!$A$11:$BN$18,MATCH(Summary!AL$1,'RA3-Backfilled Pits'!$A$9:$BN$9,1),FALSE),0)+IFERROR(VLOOKUP($B14,'RA4-Tracks_Roads'!$A$11:$BN$18,MATCH(Summary!AL$1,'RA4-Tracks_Roads'!$A$9:$BN$9,1),FALSE),0)+IFERROR(VLOOKUP($B14,'RA5-ROM'!$A$11:$BN$18,MATCH(Summary!AL$1,'RA5-ROM'!$A$9:$BN$9,1),FALSE),0)+IFERROR(VLOOKUP($B14,'RA6-CHPP'!$A$11:$BN$18,MATCH(Summary!AL$1,'RA6-CHPP'!$A$9:$BN$9,1),FALSE),0)+IFERROR(VLOOKUP($B14,'RA7-Mine Infrastructure Area'!$A$11:$BN$18,MATCH(Summary!AL$1,'RA7-Mine Infrastructure Area'!$A$9:$BN$9,1),FALSE),0)+IFERROR(VLOOKUP($B14,'RA8-Water Management Structures'!$A$11:$BN$18,MATCH(Summary!AL$1,'RA8-Water Management Structures'!$A$9:$BN$9,1),FALSE),0)+IFERROR(VLOOKUP($B14,'RA9-Codisposal Upper'!$A$11:$BN$18,MATCH(Summary!AL$1,'RA9-Codisposal Upper'!$A$9:$BN$9,1),FALSE),0)+IFERROR(VLOOKUP($B14,'RA10-Codisposal Slopes'!$A$11:$BN$18,MATCH(Summary!AL$1,'RA10-Codisposal Slopes'!$A$9:$BN$9,1),FALSE),0)+IFERROR(VLOOKUP($B14,'IA1-Final Void inc Ramps'!$A$11:$BN$18,MATCH(Summary!AL$1,'IA1-Final Void inc Ramps'!$A$9:$BN$9,1),FALSE),0)</f>
        <v>1901.2130000000002</v>
      </c>
      <c r="AM14" s="51">
        <f>IFERROR(VLOOKUP($B14,'RA1- Elevated Dumps Upper'!$A$11:$BN$18,MATCH(Summary!AM$1,'RA1- Elevated Dumps Upper'!$A$9:$BN$9,1),FALSE),0)+IFERROR(VLOOKUP($B14,'RA2-Elevated Dumps Slopes'!$A$11:$BN$18,MATCH(Summary!AM$1,'RA2-Elevated Dumps Slopes'!$A$9:$BN$9,1),FALSE),0)+IFERROR(VLOOKUP($B14,'RA3-Backfilled Pits'!$A$11:$BN$18,MATCH(Summary!AM$1,'RA3-Backfilled Pits'!$A$9:$BN$9,1),FALSE),0)+IFERROR(VLOOKUP($B14,'RA4-Tracks_Roads'!$A$11:$BN$18,MATCH(Summary!AM$1,'RA4-Tracks_Roads'!$A$9:$BN$9,1),FALSE),0)+IFERROR(VLOOKUP($B14,'RA5-ROM'!$A$11:$BN$18,MATCH(Summary!AM$1,'RA5-ROM'!$A$9:$BN$9,1),FALSE),0)+IFERROR(VLOOKUP($B14,'RA6-CHPP'!$A$11:$BN$18,MATCH(Summary!AM$1,'RA6-CHPP'!$A$9:$BN$9,1),FALSE),0)+IFERROR(VLOOKUP($B14,'RA7-Mine Infrastructure Area'!$A$11:$BN$18,MATCH(Summary!AM$1,'RA7-Mine Infrastructure Area'!$A$9:$BN$9,1),FALSE),0)+IFERROR(VLOOKUP($B14,'RA8-Water Management Structures'!$A$11:$BN$18,MATCH(Summary!AM$1,'RA8-Water Management Structures'!$A$9:$BN$9,1),FALSE),0)+IFERROR(VLOOKUP($B14,'RA9-Codisposal Upper'!$A$11:$BN$18,MATCH(Summary!AM$1,'RA9-Codisposal Upper'!$A$9:$BN$9,1),FALSE),0)+IFERROR(VLOOKUP($B14,'RA10-Codisposal Slopes'!$A$11:$BN$18,MATCH(Summary!AM$1,'RA10-Codisposal Slopes'!$A$9:$BN$9,1),FALSE),0)+IFERROR(VLOOKUP($B14,'IA1-Final Void inc Ramps'!$A$11:$BN$18,MATCH(Summary!AM$1,'IA1-Final Void inc Ramps'!$A$9:$BN$9,1),FALSE),0)</f>
        <v>1901.2130000000002</v>
      </c>
      <c r="AN14" s="51">
        <f>IFERROR(VLOOKUP($B14,'RA1- Elevated Dumps Upper'!$A$11:$BN$18,MATCH(Summary!AN$1,'RA1- Elevated Dumps Upper'!$A$9:$BN$9,1),FALSE),0)+IFERROR(VLOOKUP($B14,'RA2-Elevated Dumps Slopes'!$A$11:$BN$18,MATCH(Summary!AN$1,'RA2-Elevated Dumps Slopes'!$A$9:$BN$9,1),FALSE),0)+IFERROR(VLOOKUP($B14,'RA3-Backfilled Pits'!$A$11:$BN$18,MATCH(Summary!AN$1,'RA3-Backfilled Pits'!$A$9:$BN$9,1),FALSE),0)+IFERROR(VLOOKUP($B14,'RA4-Tracks_Roads'!$A$11:$BN$18,MATCH(Summary!AN$1,'RA4-Tracks_Roads'!$A$9:$BN$9,1),FALSE),0)+IFERROR(VLOOKUP($B14,'RA5-ROM'!$A$11:$BN$18,MATCH(Summary!AN$1,'RA5-ROM'!$A$9:$BN$9,1),FALSE),0)+IFERROR(VLOOKUP($B14,'RA6-CHPP'!$A$11:$BN$18,MATCH(Summary!AN$1,'RA6-CHPP'!$A$9:$BN$9,1),FALSE),0)+IFERROR(VLOOKUP($B14,'RA7-Mine Infrastructure Area'!$A$11:$BN$18,MATCH(Summary!AN$1,'RA7-Mine Infrastructure Area'!$A$9:$BN$9,1),FALSE),0)+IFERROR(VLOOKUP($B14,'RA8-Water Management Structures'!$A$11:$BN$18,MATCH(Summary!AN$1,'RA8-Water Management Structures'!$A$9:$BN$9,1),FALSE),0)+IFERROR(VLOOKUP($B14,'RA9-Codisposal Upper'!$A$11:$BN$18,MATCH(Summary!AN$1,'RA9-Codisposal Upper'!$A$9:$BN$9,1),FALSE),0)+IFERROR(VLOOKUP($B14,'RA10-Codisposal Slopes'!$A$11:$BN$18,MATCH(Summary!AN$1,'RA10-Codisposal Slopes'!$A$9:$BN$9,1),FALSE),0)+IFERROR(VLOOKUP($B14,'IA1-Final Void inc Ramps'!$A$11:$BN$18,MATCH(Summary!AN$1,'IA1-Final Void inc Ramps'!$A$9:$BN$9,1),FALSE),0)</f>
        <v>1901.2130000000002</v>
      </c>
      <c r="AO14" s="51">
        <f>IFERROR(VLOOKUP($B14,'RA1- Elevated Dumps Upper'!$A$11:$BN$18,MATCH(Summary!AO$1,'RA1- Elevated Dumps Upper'!$A$9:$BN$9,1),FALSE),0)+IFERROR(VLOOKUP($B14,'RA2-Elevated Dumps Slopes'!$A$11:$BN$18,MATCH(Summary!AO$1,'RA2-Elevated Dumps Slopes'!$A$9:$BN$9,1),FALSE),0)+IFERROR(VLOOKUP($B14,'RA3-Backfilled Pits'!$A$11:$BN$18,MATCH(Summary!AO$1,'RA3-Backfilled Pits'!$A$9:$BN$9,1),FALSE),0)+IFERROR(VLOOKUP($B14,'RA4-Tracks_Roads'!$A$11:$BN$18,MATCH(Summary!AO$1,'RA4-Tracks_Roads'!$A$9:$BN$9,1),FALSE),0)+IFERROR(VLOOKUP($B14,'RA5-ROM'!$A$11:$BN$18,MATCH(Summary!AO$1,'RA5-ROM'!$A$9:$BN$9,1),FALSE),0)+IFERROR(VLOOKUP($B14,'RA6-CHPP'!$A$11:$BN$18,MATCH(Summary!AO$1,'RA6-CHPP'!$A$9:$BN$9,1),FALSE),0)+IFERROR(VLOOKUP($B14,'RA7-Mine Infrastructure Area'!$A$11:$BN$18,MATCH(Summary!AO$1,'RA7-Mine Infrastructure Area'!$A$9:$BN$9,1),FALSE),0)+IFERROR(VLOOKUP($B14,'RA8-Water Management Structures'!$A$11:$BN$18,MATCH(Summary!AO$1,'RA8-Water Management Structures'!$A$9:$BN$9,1),FALSE),0)+IFERROR(VLOOKUP($B14,'RA9-Codisposal Upper'!$A$11:$BN$18,MATCH(Summary!AO$1,'RA9-Codisposal Upper'!$A$9:$BN$9,1),FALSE),0)+IFERROR(VLOOKUP($B14,'RA10-Codisposal Slopes'!$A$11:$BN$18,MATCH(Summary!AO$1,'RA10-Codisposal Slopes'!$A$9:$BN$9,1),FALSE),0)+IFERROR(VLOOKUP($B14,'IA1-Final Void inc Ramps'!$A$11:$BN$18,MATCH(Summary!AO$1,'IA1-Final Void inc Ramps'!$A$9:$BN$9,1),FALSE),0)</f>
        <v>1901.2130000000002</v>
      </c>
      <c r="AP14" s="51">
        <f>IFERROR(VLOOKUP($B14,'RA1- Elevated Dumps Upper'!$A$11:$BN$18,MATCH(Summary!AP$1,'RA1- Elevated Dumps Upper'!$A$9:$BN$9,1),FALSE),0)+IFERROR(VLOOKUP($B14,'RA2-Elevated Dumps Slopes'!$A$11:$BN$18,MATCH(Summary!AP$1,'RA2-Elevated Dumps Slopes'!$A$9:$BN$9,1),FALSE),0)+IFERROR(VLOOKUP($B14,'RA3-Backfilled Pits'!$A$11:$BN$18,MATCH(Summary!AP$1,'RA3-Backfilled Pits'!$A$9:$BN$9,1),FALSE),0)+IFERROR(VLOOKUP($B14,'RA4-Tracks_Roads'!$A$11:$BN$18,MATCH(Summary!AP$1,'RA4-Tracks_Roads'!$A$9:$BN$9,1),FALSE),0)+IFERROR(VLOOKUP($B14,'RA5-ROM'!$A$11:$BN$18,MATCH(Summary!AP$1,'RA5-ROM'!$A$9:$BN$9,1),FALSE),0)+IFERROR(VLOOKUP($B14,'RA6-CHPP'!$A$11:$BN$18,MATCH(Summary!AP$1,'RA6-CHPP'!$A$9:$BN$9,1),FALSE),0)+IFERROR(VLOOKUP($B14,'RA7-Mine Infrastructure Area'!$A$11:$BN$18,MATCH(Summary!AP$1,'RA7-Mine Infrastructure Area'!$A$9:$BN$9,1),FALSE),0)+IFERROR(VLOOKUP($B14,'RA8-Water Management Structures'!$A$11:$BN$18,MATCH(Summary!AP$1,'RA8-Water Management Structures'!$A$9:$BN$9,1),FALSE),0)+IFERROR(VLOOKUP($B14,'RA9-Codisposal Upper'!$A$11:$BN$18,MATCH(Summary!AP$1,'RA9-Codisposal Upper'!$A$9:$BN$9,1),FALSE),0)+IFERROR(VLOOKUP($B14,'RA10-Codisposal Slopes'!$A$11:$BN$18,MATCH(Summary!AP$1,'RA10-Codisposal Slopes'!$A$9:$BN$9,1),FALSE),0)+IFERROR(VLOOKUP($B14,'IA1-Final Void inc Ramps'!$A$11:$BN$18,MATCH(Summary!AP$1,'IA1-Final Void inc Ramps'!$A$9:$BN$9,1),FALSE),0)</f>
        <v>1901.2130000000002</v>
      </c>
      <c r="AQ14" s="51">
        <f>IFERROR(VLOOKUP($B14,'RA1- Elevated Dumps Upper'!$A$11:$BN$18,MATCH(Summary!AQ$1,'RA1- Elevated Dumps Upper'!$A$9:$BN$9,1),FALSE),0)+IFERROR(VLOOKUP($B14,'RA2-Elevated Dumps Slopes'!$A$11:$BN$18,MATCH(Summary!AQ$1,'RA2-Elevated Dumps Slopes'!$A$9:$BN$9,1),FALSE),0)+IFERROR(VLOOKUP($B14,'RA3-Backfilled Pits'!$A$11:$BN$18,MATCH(Summary!AQ$1,'RA3-Backfilled Pits'!$A$9:$BN$9,1),FALSE),0)+IFERROR(VLOOKUP($B14,'RA4-Tracks_Roads'!$A$11:$BN$18,MATCH(Summary!AQ$1,'RA4-Tracks_Roads'!$A$9:$BN$9,1),FALSE),0)+IFERROR(VLOOKUP($B14,'RA5-ROM'!$A$11:$BN$18,MATCH(Summary!AQ$1,'RA5-ROM'!$A$9:$BN$9,1),FALSE),0)+IFERROR(VLOOKUP($B14,'RA6-CHPP'!$A$11:$BN$18,MATCH(Summary!AQ$1,'RA6-CHPP'!$A$9:$BN$9,1),FALSE),0)+IFERROR(VLOOKUP($B14,'RA7-Mine Infrastructure Area'!$A$11:$BN$18,MATCH(Summary!AQ$1,'RA7-Mine Infrastructure Area'!$A$9:$BN$9,1),FALSE),0)+IFERROR(VLOOKUP($B14,'RA8-Water Management Structures'!$A$11:$BN$18,MATCH(Summary!AQ$1,'RA8-Water Management Structures'!$A$9:$BN$9,1),FALSE),0)+IFERROR(VLOOKUP($B14,'RA9-Codisposal Upper'!$A$11:$BN$18,MATCH(Summary!AQ$1,'RA9-Codisposal Upper'!$A$9:$BN$9,1),FALSE),0)+IFERROR(VLOOKUP($B14,'RA10-Codisposal Slopes'!$A$11:$BN$18,MATCH(Summary!AQ$1,'RA10-Codisposal Slopes'!$A$9:$BN$9,1),FALSE),0)+IFERROR(VLOOKUP($B14,'IA1-Final Void inc Ramps'!$A$11:$BN$18,MATCH(Summary!AQ$1,'IA1-Final Void inc Ramps'!$A$9:$BN$9,1),FALSE),0)</f>
        <v>1901.2130000000002</v>
      </c>
      <c r="AR14" s="51">
        <f>IFERROR(VLOOKUP($B14,'RA1- Elevated Dumps Upper'!$A$11:$BN$18,MATCH(Summary!AR$1,'RA1- Elevated Dumps Upper'!$A$9:$BN$9,1),FALSE),0)+IFERROR(VLOOKUP($B14,'RA2-Elevated Dumps Slopes'!$A$11:$BN$18,MATCH(Summary!AR$1,'RA2-Elevated Dumps Slopes'!$A$9:$BN$9,1),FALSE),0)+IFERROR(VLOOKUP($B14,'RA3-Backfilled Pits'!$A$11:$BN$18,MATCH(Summary!AR$1,'RA3-Backfilled Pits'!$A$9:$BN$9,1),FALSE),0)+IFERROR(VLOOKUP($B14,'RA4-Tracks_Roads'!$A$11:$BN$18,MATCH(Summary!AR$1,'RA4-Tracks_Roads'!$A$9:$BN$9,1),FALSE),0)+IFERROR(VLOOKUP($B14,'RA5-ROM'!$A$11:$BN$18,MATCH(Summary!AR$1,'RA5-ROM'!$A$9:$BN$9,1),FALSE),0)+IFERROR(VLOOKUP($B14,'RA6-CHPP'!$A$11:$BN$18,MATCH(Summary!AR$1,'RA6-CHPP'!$A$9:$BN$9,1),FALSE),0)+IFERROR(VLOOKUP($B14,'RA7-Mine Infrastructure Area'!$A$11:$BN$18,MATCH(Summary!AR$1,'RA7-Mine Infrastructure Area'!$A$9:$BN$9,1),FALSE),0)+IFERROR(VLOOKUP($B14,'RA8-Water Management Structures'!$A$11:$BN$18,MATCH(Summary!AR$1,'RA8-Water Management Structures'!$A$9:$BN$9,1),FALSE),0)+IFERROR(VLOOKUP($B14,'RA9-Codisposal Upper'!$A$11:$BN$18,MATCH(Summary!AR$1,'RA9-Codisposal Upper'!$A$9:$BN$9,1),FALSE),0)+IFERROR(VLOOKUP($B14,'RA10-Codisposal Slopes'!$A$11:$BN$18,MATCH(Summary!AR$1,'RA10-Codisposal Slopes'!$A$9:$BN$9,1),FALSE),0)+IFERROR(VLOOKUP($B14,'IA1-Final Void inc Ramps'!$A$11:$BN$18,MATCH(Summary!AR$1,'IA1-Final Void inc Ramps'!$A$9:$BN$9,1),FALSE),0)</f>
        <v>1901.2130000000002</v>
      </c>
      <c r="AS14" s="51">
        <f>IFERROR(VLOOKUP($B14,'RA1- Elevated Dumps Upper'!$A$11:$BN$18,MATCH(Summary!AS$1,'RA1- Elevated Dumps Upper'!$A$9:$BN$9,1),FALSE),0)+IFERROR(VLOOKUP($B14,'RA2-Elevated Dumps Slopes'!$A$11:$BN$18,MATCH(Summary!AS$1,'RA2-Elevated Dumps Slopes'!$A$9:$BN$9,1),FALSE),0)+IFERROR(VLOOKUP($B14,'RA3-Backfilled Pits'!$A$11:$BN$18,MATCH(Summary!AS$1,'RA3-Backfilled Pits'!$A$9:$BN$9,1),FALSE),0)+IFERROR(VLOOKUP($B14,'RA4-Tracks_Roads'!$A$11:$BN$18,MATCH(Summary!AS$1,'RA4-Tracks_Roads'!$A$9:$BN$9,1),FALSE),0)+IFERROR(VLOOKUP($B14,'RA5-ROM'!$A$11:$BN$18,MATCH(Summary!AS$1,'RA5-ROM'!$A$9:$BN$9,1),FALSE),0)+IFERROR(VLOOKUP($B14,'RA6-CHPP'!$A$11:$BN$18,MATCH(Summary!AS$1,'RA6-CHPP'!$A$9:$BN$9,1),FALSE),0)+IFERROR(VLOOKUP($B14,'RA7-Mine Infrastructure Area'!$A$11:$BN$18,MATCH(Summary!AS$1,'RA7-Mine Infrastructure Area'!$A$9:$BN$9,1),FALSE),0)+IFERROR(VLOOKUP($B14,'RA8-Water Management Structures'!$A$11:$BN$18,MATCH(Summary!AS$1,'RA8-Water Management Structures'!$A$9:$BN$9,1),FALSE),0)+IFERROR(VLOOKUP($B14,'RA9-Codisposal Upper'!$A$11:$BN$18,MATCH(Summary!AS$1,'RA9-Codisposal Upper'!$A$9:$BN$9,1),FALSE),0)+IFERROR(VLOOKUP($B14,'RA10-Codisposal Slopes'!$A$11:$BN$18,MATCH(Summary!AS$1,'RA10-Codisposal Slopes'!$A$9:$BN$9,1),FALSE),0)+IFERROR(VLOOKUP($B14,'IA1-Final Void inc Ramps'!$A$11:$BN$18,MATCH(Summary!AS$1,'IA1-Final Void inc Ramps'!$A$9:$BN$9,1),FALSE),0)</f>
        <v>1901.2130000000002</v>
      </c>
      <c r="AT14" s="51">
        <f>IFERROR(VLOOKUP($B14,'RA1- Elevated Dumps Upper'!$A$11:$BN$18,MATCH(Summary!AT$1,'RA1- Elevated Dumps Upper'!$A$9:$BN$9,1),FALSE),0)+IFERROR(VLOOKUP($B14,'RA2-Elevated Dumps Slopes'!$A$11:$BN$18,MATCH(Summary!AT$1,'RA2-Elevated Dumps Slopes'!$A$9:$BN$9,1),FALSE),0)+IFERROR(VLOOKUP($B14,'RA3-Backfilled Pits'!$A$11:$BN$18,MATCH(Summary!AT$1,'RA3-Backfilled Pits'!$A$9:$BN$9,1),FALSE),0)+IFERROR(VLOOKUP($B14,'RA4-Tracks_Roads'!$A$11:$BN$18,MATCH(Summary!AT$1,'RA4-Tracks_Roads'!$A$9:$BN$9,1),FALSE),0)+IFERROR(VLOOKUP($B14,'RA5-ROM'!$A$11:$BN$18,MATCH(Summary!AT$1,'RA5-ROM'!$A$9:$BN$9,1),FALSE),0)+IFERROR(VLOOKUP($B14,'RA6-CHPP'!$A$11:$BN$18,MATCH(Summary!AT$1,'RA6-CHPP'!$A$9:$BN$9,1),FALSE),0)+IFERROR(VLOOKUP($B14,'RA7-Mine Infrastructure Area'!$A$11:$BN$18,MATCH(Summary!AT$1,'RA7-Mine Infrastructure Area'!$A$9:$BN$9,1),FALSE),0)+IFERROR(VLOOKUP($B14,'RA8-Water Management Structures'!$A$11:$BN$18,MATCH(Summary!AT$1,'RA8-Water Management Structures'!$A$9:$BN$9,1),FALSE),0)+IFERROR(VLOOKUP($B14,'RA9-Codisposal Upper'!$A$11:$BN$18,MATCH(Summary!AT$1,'RA9-Codisposal Upper'!$A$9:$BN$9,1),FALSE),0)+IFERROR(VLOOKUP($B14,'RA10-Codisposal Slopes'!$A$11:$BN$18,MATCH(Summary!AT$1,'RA10-Codisposal Slopes'!$A$9:$BN$9,1),FALSE),0)+IFERROR(VLOOKUP($B14,'IA1-Final Void inc Ramps'!$A$11:$BN$18,MATCH(Summary!AT$1,'IA1-Final Void inc Ramps'!$A$9:$BN$9,1),FALSE),0)</f>
        <v>1901.2130000000002</v>
      </c>
      <c r="AU14" s="51">
        <f>IFERROR(VLOOKUP($B14,'RA1- Elevated Dumps Upper'!$A$11:$BN$18,MATCH(Summary!AU$1,'RA1- Elevated Dumps Upper'!$A$9:$BN$9,1),FALSE),0)+IFERROR(VLOOKUP($B14,'RA2-Elevated Dumps Slopes'!$A$11:$BN$18,MATCH(Summary!AU$1,'RA2-Elevated Dumps Slopes'!$A$9:$BN$9,1),FALSE),0)+IFERROR(VLOOKUP($B14,'RA3-Backfilled Pits'!$A$11:$BN$18,MATCH(Summary!AU$1,'RA3-Backfilled Pits'!$A$9:$BN$9,1),FALSE),0)+IFERROR(VLOOKUP($B14,'RA4-Tracks_Roads'!$A$11:$BN$18,MATCH(Summary!AU$1,'RA4-Tracks_Roads'!$A$9:$BN$9,1),FALSE),0)+IFERROR(VLOOKUP($B14,'RA5-ROM'!$A$11:$BN$18,MATCH(Summary!AU$1,'RA5-ROM'!$A$9:$BN$9,1),FALSE),0)+IFERROR(VLOOKUP($B14,'RA6-CHPP'!$A$11:$BN$18,MATCH(Summary!AU$1,'RA6-CHPP'!$A$9:$BN$9,1),FALSE),0)+IFERROR(VLOOKUP($B14,'RA7-Mine Infrastructure Area'!$A$11:$BN$18,MATCH(Summary!AU$1,'RA7-Mine Infrastructure Area'!$A$9:$BN$9,1),FALSE),0)+IFERROR(VLOOKUP($B14,'RA8-Water Management Structures'!$A$11:$BN$18,MATCH(Summary!AU$1,'RA8-Water Management Structures'!$A$9:$BN$9,1),FALSE),0)+IFERROR(VLOOKUP($B14,'RA9-Codisposal Upper'!$A$11:$BN$18,MATCH(Summary!AU$1,'RA9-Codisposal Upper'!$A$9:$BN$9,1),FALSE),0)+IFERROR(VLOOKUP($B14,'RA10-Codisposal Slopes'!$A$11:$BN$18,MATCH(Summary!AU$1,'RA10-Codisposal Slopes'!$A$9:$BN$9,1),FALSE),0)+IFERROR(VLOOKUP($B14,'IA1-Final Void inc Ramps'!$A$11:$BN$18,MATCH(Summary!AU$1,'IA1-Final Void inc Ramps'!$A$9:$BN$9,1),FALSE),0)</f>
        <v>1901.2130000000002</v>
      </c>
      <c r="AV14" s="51">
        <f>IFERROR(VLOOKUP($B14,'RA1- Elevated Dumps Upper'!$A$11:$BN$18,MATCH(Summary!AV$1,'RA1- Elevated Dumps Upper'!$A$9:$BN$9,1),FALSE),0)+IFERROR(VLOOKUP($B14,'RA2-Elevated Dumps Slopes'!$A$11:$BN$18,MATCH(Summary!AV$1,'RA2-Elevated Dumps Slopes'!$A$9:$BN$9,1),FALSE),0)+IFERROR(VLOOKUP($B14,'RA3-Backfilled Pits'!$A$11:$BN$18,MATCH(Summary!AV$1,'RA3-Backfilled Pits'!$A$9:$BN$9,1),FALSE),0)+IFERROR(VLOOKUP($B14,'RA4-Tracks_Roads'!$A$11:$BN$18,MATCH(Summary!AV$1,'RA4-Tracks_Roads'!$A$9:$BN$9,1),FALSE),0)+IFERROR(VLOOKUP($B14,'RA5-ROM'!$A$11:$BN$18,MATCH(Summary!AV$1,'RA5-ROM'!$A$9:$BN$9,1),FALSE),0)+IFERROR(VLOOKUP($B14,'RA6-CHPP'!$A$11:$BN$18,MATCH(Summary!AV$1,'RA6-CHPP'!$A$9:$BN$9,1),FALSE),0)+IFERROR(VLOOKUP($B14,'RA7-Mine Infrastructure Area'!$A$11:$BN$18,MATCH(Summary!AV$1,'RA7-Mine Infrastructure Area'!$A$9:$BN$9,1),FALSE),0)+IFERROR(VLOOKUP($B14,'RA8-Water Management Structures'!$A$11:$BN$18,MATCH(Summary!AV$1,'RA8-Water Management Structures'!$A$9:$BN$9,1),FALSE),0)+IFERROR(VLOOKUP($B14,'RA9-Codisposal Upper'!$A$11:$BN$18,MATCH(Summary!AV$1,'RA9-Codisposal Upper'!$A$9:$BN$9,1),FALSE),0)+IFERROR(VLOOKUP($B14,'RA10-Codisposal Slopes'!$A$11:$BN$18,MATCH(Summary!AV$1,'RA10-Codisposal Slopes'!$A$9:$BN$9,1),FALSE),0)+IFERROR(VLOOKUP($B14,'IA1-Final Void inc Ramps'!$A$11:$BN$18,MATCH(Summary!AV$1,'IA1-Final Void inc Ramps'!$A$9:$BN$9,1),FALSE),0)</f>
        <v>1901.2130000000002</v>
      </c>
      <c r="AW14" s="51">
        <f>IFERROR(VLOOKUP($B14,'RA1- Elevated Dumps Upper'!$A$11:$BN$18,MATCH(Summary!AW$1,'RA1- Elevated Dumps Upper'!$A$9:$BN$9,1),FALSE),0)+IFERROR(VLOOKUP($B14,'RA2-Elevated Dumps Slopes'!$A$11:$BN$18,MATCH(Summary!AW$1,'RA2-Elevated Dumps Slopes'!$A$9:$BN$9,1),FALSE),0)+IFERROR(VLOOKUP($B14,'RA3-Backfilled Pits'!$A$11:$BN$18,MATCH(Summary!AW$1,'RA3-Backfilled Pits'!$A$9:$BN$9,1),FALSE),0)+IFERROR(VLOOKUP($B14,'RA4-Tracks_Roads'!$A$11:$BN$18,MATCH(Summary!AW$1,'RA4-Tracks_Roads'!$A$9:$BN$9,1),FALSE),0)+IFERROR(VLOOKUP($B14,'RA5-ROM'!$A$11:$BN$18,MATCH(Summary!AW$1,'RA5-ROM'!$A$9:$BN$9,1),FALSE),0)+IFERROR(VLOOKUP($B14,'RA6-CHPP'!$A$11:$BN$18,MATCH(Summary!AW$1,'RA6-CHPP'!$A$9:$BN$9,1),FALSE),0)+IFERROR(VLOOKUP($B14,'RA7-Mine Infrastructure Area'!$A$11:$BN$18,MATCH(Summary!AW$1,'RA7-Mine Infrastructure Area'!$A$9:$BN$9,1),FALSE),0)+IFERROR(VLOOKUP($B14,'RA8-Water Management Structures'!$A$11:$BN$18,MATCH(Summary!AW$1,'RA8-Water Management Structures'!$A$9:$BN$9,1),FALSE),0)+IFERROR(VLOOKUP($B14,'RA9-Codisposal Upper'!$A$11:$BN$18,MATCH(Summary!AW$1,'RA9-Codisposal Upper'!$A$9:$BN$9,1),FALSE),0)+IFERROR(VLOOKUP($B14,'RA10-Codisposal Slopes'!$A$11:$BN$18,MATCH(Summary!AW$1,'RA10-Codisposal Slopes'!$A$9:$BN$9,1),FALSE),0)+IFERROR(VLOOKUP($B14,'IA1-Final Void inc Ramps'!$A$11:$BN$18,MATCH(Summary!AW$1,'IA1-Final Void inc Ramps'!$A$9:$BN$9,1),FALSE),0)</f>
        <v>1901.2130000000002</v>
      </c>
      <c r="AX14" s="51">
        <f>IFERROR(VLOOKUP($B14,'RA1- Elevated Dumps Upper'!$A$11:$BN$18,MATCH(Summary!AX$1,'RA1- Elevated Dumps Upper'!$A$9:$BN$9,1),FALSE),0)+IFERROR(VLOOKUP($B14,'RA2-Elevated Dumps Slopes'!$A$11:$BN$18,MATCH(Summary!AX$1,'RA2-Elevated Dumps Slopes'!$A$9:$BN$9,1),FALSE),0)+IFERROR(VLOOKUP($B14,'RA3-Backfilled Pits'!$A$11:$BN$18,MATCH(Summary!AX$1,'RA3-Backfilled Pits'!$A$9:$BN$9,1),FALSE),0)+IFERROR(VLOOKUP($B14,'RA4-Tracks_Roads'!$A$11:$BN$18,MATCH(Summary!AX$1,'RA4-Tracks_Roads'!$A$9:$BN$9,1),FALSE),0)+IFERROR(VLOOKUP($B14,'RA5-ROM'!$A$11:$BN$18,MATCH(Summary!AX$1,'RA5-ROM'!$A$9:$BN$9,1),FALSE),0)+IFERROR(VLOOKUP($B14,'RA6-CHPP'!$A$11:$BN$18,MATCH(Summary!AX$1,'RA6-CHPP'!$A$9:$BN$9,1),FALSE),0)+IFERROR(VLOOKUP($B14,'RA7-Mine Infrastructure Area'!$A$11:$BN$18,MATCH(Summary!AX$1,'RA7-Mine Infrastructure Area'!$A$9:$BN$9,1),FALSE),0)+IFERROR(VLOOKUP($B14,'RA8-Water Management Structures'!$A$11:$BN$18,MATCH(Summary!AX$1,'RA8-Water Management Structures'!$A$9:$BN$9,1),FALSE),0)+IFERROR(VLOOKUP($B14,'RA9-Codisposal Upper'!$A$11:$BN$18,MATCH(Summary!AX$1,'RA9-Codisposal Upper'!$A$9:$BN$9,1),FALSE),0)+IFERROR(VLOOKUP($B14,'RA10-Codisposal Slopes'!$A$11:$BN$18,MATCH(Summary!AX$1,'RA10-Codisposal Slopes'!$A$9:$BN$9,1),FALSE),0)+IFERROR(VLOOKUP($B14,'IA1-Final Void inc Ramps'!$A$11:$BN$18,MATCH(Summary!AX$1,'IA1-Final Void inc Ramps'!$A$9:$BN$9,1),FALSE),0)</f>
        <v>1901.2130000000002</v>
      </c>
      <c r="AY14" s="51">
        <f>IFERROR(VLOOKUP($B14,'RA1- Elevated Dumps Upper'!$A$11:$BN$18,MATCH(Summary!AY$1,'RA1- Elevated Dumps Upper'!$A$9:$BN$9,1),FALSE),0)+IFERROR(VLOOKUP($B14,'RA2-Elevated Dumps Slopes'!$A$11:$BN$18,MATCH(Summary!AY$1,'RA2-Elevated Dumps Slopes'!$A$9:$BN$9,1),FALSE),0)+IFERROR(VLOOKUP($B14,'RA3-Backfilled Pits'!$A$11:$BN$18,MATCH(Summary!AY$1,'RA3-Backfilled Pits'!$A$9:$BN$9,1),FALSE),0)+IFERROR(VLOOKUP($B14,'RA4-Tracks_Roads'!$A$11:$BN$18,MATCH(Summary!AY$1,'RA4-Tracks_Roads'!$A$9:$BN$9,1),FALSE),0)+IFERROR(VLOOKUP($B14,'RA5-ROM'!$A$11:$BN$18,MATCH(Summary!AY$1,'RA5-ROM'!$A$9:$BN$9,1),FALSE),0)+IFERROR(VLOOKUP($B14,'RA6-CHPP'!$A$11:$BN$18,MATCH(Summary!AY$1,'RA6-CHPP'!$A$9:$BN$9,1),FALSE),0)+IFERROR(VLOOKUP($B14,'RA7-Mine Infrastructure Area'!$A$11:$BN$18,MATCH(Summary!AY$1,'RA7-Mine Infrastructure Area'!$A$9:$BN$9,1),FALSE),0)+IFERROR(VLOOKUP($B14,'RA8-Water Management Structures'!$A$11:$BN$18,MATCH(Summary!AY$1,'RA8-Water Management Structures'!$A$9:$BN$9,1),FALSE),0)+IFERROR(VLOOKUP($B14,'RA9-Codisposal Upper'!$A$11:$BN$18,MATCH(Summary!AY$1,'RA9-Codisposal Upper'!$A$9:$BN$9,1),FALSE),0)+IFERROR(VLOOKUP($B14,'RA10-Codisposal Slopes'!$A$11:$BN$18,MATCH(Summary!AY$1,'RA10-Codisposal Slopes'!$A$9:$BN$9,1),FALSE),0)+IFERROR(VLOOKUP($B14,'IA1-Final Void inc Ramps'!$A$11:$BN$18,MATCH(Summary!AY$1,'IA1-Final Void inc Ramps'!$A$9:$BN$9,1),FALSE),0)</f>
        <v>1901.2130000000002</v>
      </c>
      <c r="AZ14" s="51">
        <f>IFERROR(VLOOKUP($B14,'RA1- Elevated Dumps Upper'!$A$11:$BN$18,MATCH(Summary!AZ$1,'RA1- Elevated Dumps Upper'!$A$9:$BN$9,1),FALSE),0)+IFERROR(VLOOKUP($B14,'RA2-Elevated Dumps Slopes'!$A$11:$BN$18,MATCH(Summary!AZ$1,'RA2-Elevated Dumps Slopes'!$A$9:$BN$9,1),FALSE),0)+IFERROR(VLOOKUP($B14,'RA3-Backfilled Pits'!$A$11:$BN$18,MATCH(Summary!AZ$1,'RA3-Backfilled Pits'!$A$9:$BN$9,1),FALSE),0)+IFERROR(VLOOKUP($B14,'RA4-Tracks_Roads'!$A$11:$BN$18,MATCH(Summary!AZ$1,'RA4-Tracks_Roads'!$A$9:$BN$9,1),FALSE),0)+IFERROR(VLOOKUP($B14,'RA5-ROM'!$A$11:$BN$18,MATCH(Summary!AZ$1,'RA5-ROM'!$A$9:$BN$9,1),FALSE),0)+IFERROR(VLOOKUP($B14,'RA6-CHPP'!$A$11:$BN$18,MATCH(Summary!AZ$1,'RA6-CHPP'!$A$9:$BN$9,1),FALSE),0)+IFERROR(VLOOKUP($B14,'RA7-Mine Infrastructure Area'!$A$11:$BN$18,MATCH(Summary!AZ$1,'RA7-Mine Infrastructure Area'!$A$9:$BN$9,1),FALSE),0)+IFERROR(VLOOKUP($B14,'RA8-Water Management Structures'!$A$11:$BN$18,MATCH(Summary!AZ$1,'RA8-Water Management Structures'!$A$9:$BN$9,1),FALSE),0)+IFERROR(VLOOKUP($B14,'RA9-Codisposal Upper'!$A$11:$BN$18,MATCH(Summary!AZ$1,'RA9-Codisposal Upper'!$A$9:$BN$9,1),FALSE),0)+IFERROR(VLOOKUP($B14,'RA10-Codisposal Slopes'!$A$11:$BN$18,MATCH(Summary!AZ$1,'RA10-Codisposal Slopes'!$A$9:$BN$9,1),FALSE),0)+IFERROR(VLOOKUP($B14,'IA1-Final Void inc Ramps'!$A$11:$BN$18,MATCH(Summary!AZ$1,'IA1-Final Void inc Ramps'!$A$9:$BN$9,1),FALSE),0)</f>
        <v>1901.2130000000002</v>
      </c>
      <c r="BA14" s="51">
        <f>IFERROR(VLOOKUP($B14,'RA1- Elevated Dumps Upper'!$A$11:$BN$18,MATCH(Summary!BA$1,'RA1- Elevated Dumps Upper'!$A$9:$BN$9,1),FALSE),0)+IFERROR(VLOOKUP($B14,'RA2-Elevated Dumps Slopes'!$A$11:$BN$18,MATCH(Summary!BA$1,'RA2-Elevated Dumps Slopes'!$A$9:$BN$9,1),FALSE),0)+IFERROR(VLOOKUP($B14,'RA3-Backfilled Pits'!$A$11:$BN$18,MATCH(Summary!BA$1,'RA3-Backfilled Pits'!$A$9:$BN$9,1),FALSE),0)+IFERROR(VLOOKUP($B14,'RA4-Tracks_Roads'!$A$11:$BN$18,MATCH(Summary!BA$1,'RA4-Tracks_Roads'!$A$9:$BN$9,1),FALSE),0)+IFERROR(VLOOKUP($B14,'RA5-ROM'!$A$11:$BN$18,MATCH(Summary!BA$1,'RA5-ROM'!$A$9:$BN$9,1),FALSE),0)+IFERROR(VLOOKUP($B14,'RA6-CHPP'!$A$11:$BN$18,MATCH(Summary!BA$1,'RA6-CHPP'!$A$9:$BN$9,1),FALSE),0)+IFERROR(VLOOKUP($B14,'RA7-Mine Infrastructure Area'!$A$11:$BN$18,MATCH(Summary!BA$1,'RA7-Mine Infrastructure Area'!$A$9:$BN$9,1),FALSE),0)+IFERROR(VLOOKUP($B14,'RA8-Water Management Structures'!$A$11:$BN$18,MATCH(Summary!BA$1,'RA8-Water Management Structures'!$A$9:$BN$9,1),FALSE),0)+IFERROR(VLOOKUP($B14,'RA9-Codisposal Upper'!$A$11:$BN$18,MATCH(Summary!BA$1,'RA9-Codisposal Upper'!$A$9:$BN$9,1),FALSE),0)+IFERROR(VLOOKUP($B14,'RA10-Codisposal Slopes'!$A$11:$BN$18,MATCH(Summary!BA$1,'RA10-Codisposal Slopes'!$A$9:$BN$9,1),FALSE),0)+IFERROR(VLOOKUP($B14,'IA1-Final Void inc Ramps'!$A$11:$BN$18,MATCH(Summary!BA$1,'IA1-Final Void inc Ramps'!$A$9:$BN$9,1),FALSE),0)</f>
        <v>1901.2130000000002</v>
      </c>
      <c r="BB14" s="51">
        <f>IFERROR(VLOOKUP($B14,'RA1- Elevated Dumps Upper'!$A$11:$BN$18,MATCH(Summary!BB$1,'RA1- Elevated Dumps Upper'!$A$9:$BN$9,1),FALSE),0)+IFERROR(VLOOKUP($B14,'RA2-Elevated Dumps Slopes'!$A$11:$BN$18,MATCH(Summary!BB$1,'RA2-Elevated Dumps Slopes'!$A$9:$BN$9,1),FALSE),0)+IFERROR(VLOOKUP($B14,'RA3-Backfilled Pits'!$A$11:$BN$18,MATCH(Summary!BB$1,'RA3-Backfilled Pits'!$A$9:$BN$9,1),FALSE),0)+IFERROR(VLOOKUP($B14,'RA4-Tracks_Roads'!$A$11:$BN$18,MATCH(Summary!BB$1,'RA4-Tracks_Roads'!$A$9:$BN$9,1),FALSE),0)+IFERROR(VLOOKUP($B14,'RA5-ROM'!$A$11:$BN$18,MATCH(Summary!BB$1,'RA5-ROM'!$A$9:$BN$9,1),FALSE),0)+IFERROR(VLOOKUP($B14,'RA6-CHPP'!$A$11:$BN$18,MATCH(Summary!BB$1,'RA6-CHPP'!$A$9:$BN$9,1),FALSE),0)+IFERROR(VLOOKUP($B14,'RA7-Mine Infrastructure Area'!$A$11:$BN$18,MATCH(Summary!BB$1,'RA7-Mine Infrastructure Area'!$A$9:$BN$9,1),FALSE),0)+IFERROR(VLOOKUP($B14,'RA8-Water Management Structures'!$A$11:$BN$18,MATCH(Summary!BB$1,'RA8-Water Management Structures'!$A$9:$BN$9,1),FALSE),0)+IFERROR(VLOOKUP($B14,'RA9-Codisposal Upper'!$A$11:$BN$18,MATCH(Summary!BB$1,'RA9-Codisposal Upper'!$A$9:$BN$9,1),FALSE),0)+IFERROR(VLOOKUP($B14,'RA10-Codisposal Slopes'!$A$11:$BN$18,MATCH(Summary!BB$1,'RA10-Codisposal Slopes'!$A$9:$BN$9,1),FALSE),0)+IFERROR(VLOOKUP($B14,'IA1-Final Void inc Ramps'!$A$11:$BN$18,MATCH(Summary!BB$1,'IA1-Final Void inc Ramps'!$A$9:$BN$9,1),FALSE),0)</f>
        <v>1901.2130000000002</v>
      </c>
      <c r="BC14" s="51">
        <f>IFERROR(VLOOKUP($B14,'RA1- Elevated Dumps Upper'!$A$11:$BN$18,MATCH(Summary!BC$1,'RA1- Elevated Dumps Upper'!$A$9:$BN$9,1),FALSE),0)+IFERROR(VLOOKUP($B14,'RA2-Elevated Dumps Slopes'!$A$11:$BN$18,MATCH(Summary!BC$1,'RA2-Elevated Dumps Slopes'!$A$9:$BN$9,1),FALSE),0)+IFERROR(VLOOKUP($B14,'RA3-Backfilled Pits'!$A$11:$BN$18,MATCH(Summary!BC$1,'RA3-Backfilled Pits'!$A$9:$BN$9,1),FALSE),0)+IFERROR(VLOOKUP($B14,'RA4-Tracks_Roads'!$A$11:$BN$18,MATCH(Summary!BC$1,'RA4-Tracks_Roads'!$A$9:$BN$9,1),FALSE),0)+IFERROR(VLOOKUP($B14,'RA5-ROM'!$A$11:$BN$18,MATCH(Summary!BC$1,'RA5-ROM'!$A$9:$BN$9,1),FALSE),0)+IFERROR(VLOOKUP($B14,'RA6-CHPP'!$A$11:$BN$18,MATCH(Summary!BC$1,'RA6-CHPP'!$A$9:$BN$9,1),FALSE),0)+IFERROR(VLOOKUP($B14,'RA7-Mine Infrastructure Area'!$A$11:$BN$18,MATCH(Summary!BC$1,'RA7-Mine Infrastructure Area'!$A$9:$BN$9,1),FALSE),0)+IFERROR(VLOOKUP($B14,'RA8-Water Management Structures'!$A$11:$BN$18,MATCH(Summary!BC$1,'RA8-Water Management Structures'!$A$9:$BN$9,1),FALSE),0)+IFERROR(VLOOKUP($B14,'RA9-Codisposal Upper'!$A$11:$BN$18,MATCH(Summary!BC$1,'RA9-Codisposal Upper'!$A$9:$BN$9,1),FALSE),0)+IFERROR(VLOOKUP($B14,'RA10-Codisposal Slopes'!$A$11:$BN$18,MATCH(Summary!BC$1,'RA10-Codisposal Slopes'!$A$9:$BN$9,1),FALSE),0)+IFERROR(VLOOKUP($B14,'IA1-Final Void inc Ramps'!$A$11:$BN$18,MATCH(Summary!BC$1,'IA1-Final Void inc Ramps'!$A$9:$BN$9,1),FALSE),0)</f>
        <v>1901.2130000000002</v>
      </c>
      <c r="BD14" s="51">
        <f>IFERROR(VLOOKUP($B14,'RA1- Elevated Dumps Upper'!$A$11:$BN$18,MATCH(Summary!BD$1,'RA1- Elevated Dumps Upper'!$A$9:$BN$9,1),FALSE),0)+IFERROR(VLOOKUP($B14,'RA2-Elevated Dumps Slopes'!$A$11:$BN$18,MATCH(Summary!BD$1,'RA2-Elevated Dumps Slopes'!$A$9:$BN$9,1),FALSE),0)+IFERROR(VLOOKUP($B14,'RA3-Backfilled Pits'!$A$11:$BN$18,MATCH(Summary!BD$1,'RA3-Backfilled Pits'!$A$9:$BN$9,1),FALSE),0)+IFERROR(VLOOKUP($B14,'RA4-Tracks_Roads'!$A$11:$BN$18,MATCH(Summary!BD$1,'RA4-Tracks_Roads'!$A$9:$BN$9,1),FALSE),0)+IFERROR(VLOOKUP($B14,'RA5-ROM'!$A$11:$BN$18,MATCH(Summary!BD$1,'RA5-ROM'!$A$9:$BN$9,1),FALSE),0)+IFERROR(VLOOKUP($B14,'RA6-CHPP'!$A$11:$BN$18,MATCH(Summary!BD$1,'RA6-CHPP'!$A$9:$BN$9,1),FALSE),0)+IFERROR(VLOOKUP($B14,'RA7-Mine Infrastructure Area'!$A$11:$BN$18,MATCH(Summary!BD$1,'RA7-Mine Infrastructure Area'!$A$9:$BN$9,1),FALSE),0)+IFERROR(VLOOKUP($B14,'RA8-Water Management Structures'!$A$11:$BN$18,MATCH(Summary!BD$1,'RA8-Water Management Structures'!$A$9:$BN$9,1),FALSE),0)+IFERROR(VLOOKUP($B14,'RA9-Codisposal Upper'!$A$11:$BN$18,MATCH(Summary!BD$1,'RA9-Codisposal Upper'!$A$9:$BN$9,1),FALSE),0)+IFERROR(VLOOKUP($B14,'RA10-Codisposal Slopes'!$A$11:$BN$18,MATCH(Summary!BD$1,'RA10-Codisposal Slopes'!$A$9:$BN$9,1),FALSE),0)+IFERROR(VLOOKUP($B14,'IA1-Final Void inc Ramps'!$A$11:$BN$18,MATCH(Summary!BD$1,'IA1-Final Void inc Ramps'!$A$9:$BN$9,1),FALSE),0)</f>
        <v>1901.2130000000002</v>
      </c>
      <c r="BE14" s="51">
        <f>IFERROR(VLOOKUP($B14,'RA1- Elevated Dumps Upper'!$A$11:$BN$18,MATCH(Summary!BE$1,'RA1- Elevated Dumps Upper'!$A$9:$BN$9,1),FALSE),0)+IFERROR(VLOOKUP($B14,'RA2-Elevated Dumps Slopes'!$A$11:$BN$18,MATCH(Summary!BE$1,'RA2-Elevated Dumps Slopes'!$A$9:$BN$9,1),FALSE),0)+IFERROR(VLOOKUP($B14,'RA3-Backfilled Pits'!$A$11:$BN$18,MATCH(Summary!BE$1,'RA3-Backfilled Pits'!$A$9:$BN$9,1),FALSE),0)+IFERROR(VLOOKUP($B14,'RA4-Tracks_Roads'!$A$11:$BN$18,MATCH(Summary!BE$1,'RA4-Tracks_Roads'!$A$9:$BN$9,1),FALSE),0)+IFERROR(VLOOKUP($B14,'RA5-ROM'!$A$11:$BN$18,MATCH(Summary!BE$1,'RA5-ROM'!$A$9:$BN$9,1),FALSE),0)+IFERROR(VLOOKUP($B14,'RA6-CHPP'!$A$11:$BN$18,MATCH(Summary!BE$1,'RA6-CHPP'!$A$9:$BN$9,1),FALSE),0)+IFERROR(VLOOKUP($B14,'RA7-Mine Infrastructure Area'!$A$11:$BN$18,MATCH(Summary!BE$1,'RA7-Mine Infrastructure Area'!$A$9:$BN$9,1),FALSE),0)+IFERROR(VLOOKUP($B14,'RA8-Water Management Structures'!$A$11:$BN$18,MATCH(Summary!BE$1,'RA8-Water Management Structures'!$A$9:$BN$9,1),FALSE),0)+IFERROR(VLOOKUP($B14,'RA9-Codisposal Upper'!$A$11:$BN$18,MATCH(Summary!BE$1,'RA9-Codisposal Upper'!$A$9:$BN$9,1),FALSE),0)+IFERROR(VLOOKUP($B14,'RA10-Codisposal Slopes'!$A$11:$BN$18,MATCH(Summary!BE$1,'RA10-Codisposal Slopes'!$A$9:$BN$9,1),FALSE),0)+IFERROR(VLOOKUP($B14,'IA1-Final Void inc Ramps'!$A$11:$BN$18,MATCH(Summary!BE$1,'IA1-Final Void inc Ramps'!$A$9:$BN$9,1),FALSE),0)</f>
        <v>1901.2130000000002</v>
      </c>
      <c r="BF14" s="51">
        <f>IFERROR(VLOOKUP($B14,'RA1- Elevated Dumps Upper'!$A$11:$BN$18,MATCH(Summary!BF$1,'RA1- Elevated Dumps Upper'!$A$9:$BN$9,1),FALSE),0)+IFERROR(VLOOKUP($B14,'RA2-Elevated Dumps Slopes'!$A$11:$BN$18,MATCH(Summary!BF$1,'RA2-Elevated Dumps Slopes'!$A$9:$BN$9,1),FALSE),0)+IFERROR(VLOOKUP($B14,'RA3-Backfilled Pits'!$A$11:$BN$18,MATCH(Summary!BF$1,'RA3-Backfilled Pits'!$A$9:$BN$9,1),FALSE),0)+IFERROR(VLOOKUP($B14,'RA4-Tracks_Roads'!$A$11:$BN$18,MATCH(Summary!BF$1,'RA4-Tracks_Roads'!$A$9:$BN$9,1),FALSE),0)+IFERROR(VLOOKUP($B14,'RA5-ROM'!$A$11:$BN$18,MATCH(Summary!BF$1,'RA5-ROM'!$A$9:$BN$9,1),FALSE),0)+IFERROR(VLOOKUP($B14,'RA6-CHPP'!$A$11:$BN$18,MATCH(Summary!BF$1,'RA6-CHPP'!$A$9:$BN$9,1),FALSE),0)+IFERROR(VLOOKUP($B14,'RA7-Mine Infrastructure Area'!$A$11:$BN$18,MATCH(Summary!BF$1,'RA7-Mine Infrastructure Area'!$A$9:$BN$9,1),FALSE),0)+IFERROR(VLOOKUP($B14,'RA8-Water Management Structures'!$A$11:$BN$18,MATCH(Summary!BF$1,'RA8-Water Management Structures'!$A$9:$BN$9,1),FALSE),0)+IFERROR(VLOOKUP($B14,'RA9-Codisposal Upper'!$A$11:$BN$18,MATCH(Summary!BF$1,'RA9-Codisposal Upper'!$A$9:$BN$9,1),FALSE),0)+IFERROR(VLOOKUP($B14,'RA10-Codisposal Slopes'!$A$11:$BN$18,MATCH(Summary!BF$1,'RA10-Codisposal Slopes'!$A$9:$BN$9,1),FALSE),0)+IFERROR(VLOOKUP($B14,'IA1-Final Void inc Ramps'!$A$11:$BN$18,MATCH(Summary!BF$1,'IA1-Final Void inc Ramps'!$A$9:$BN$9,1),FALSE),0)</f>
        <v>1901.2130000000002</v>
      </c>
      <c r="BG14" s="51">
        <f>IFERROR(VLOOKUP($B14,'RA1- Elevated Dumps Upper'!$A$11:$BN$18,MATCH(Summary!BG$1,'RA1- Elevated Dumps Upper'!$A$9:$BN$9,1),FALSE),0)+IFERROR(VLOOKUP($B14,'RA2-Elevated Dumps Slopes'!$A$11:$BN$18,MATCH(Summary!BG$1,'RA2-Elevated Dumps Slopes'!$A$9:$BN$9,1),FALSE),0)+IFERROR(VLOOKUP($B14,'RA3-Backfilled Pits'!$A$11:$BN$18,MATCH(Summary!BG$1,'RA3-Backfilled Pits'!$A$9:$BN$9,1),FALSE),0)+IFERROR(VLOOKUP($B14,'RA4-Tracks_Roads'!$A$11:$BN$18,MATCH(Summary!BG$1,'RA4-Tracks_Roads'!$A$9:$BN$9,1),FALSE),0)+IFERROR(VLOOKUP($B14,'RA5-ROM'!$A$11:$BN$18,MATCH(Summary!BG$1,'RA5-ROM'!$A$9:$BN$9,1),FALSE),0)+IFERROR(VLOOKUP($B14,'RA6-CHPP'!$A$11:$BN$18,MATCH(Summary!BG$1,'RA6-CHPP'!$A$9:$BN$9,1),FALSE),0)+IFERROR(VLOOKUP($B14,'RA7-Mine Infrastructure Area'!$A$11:$BN$18,MATCH(Summary!BG$1,'RA7-Mine Infrastructure Area'!$A$9:$BN$9,1),FALSE),0)+IFERROR(VLOOKUP($B14,'RA8-Water Management Structures'!$A$11:$BN$18,MATCH(Summary!BG$1,'RA8-Water Management Structures'!$A$9:$BN$9,1),FALSE),0)+IFERROR(VLOOKUP($B14,'RA9-Codisposal Upper'!$A$11:$BN$18,MATCH(Summary!BG$1,'RA9-Codisposal Upper'!$A$9:$BN$9,1),FALSE),0)+IFERROR(VLOOKUP($B14,'RA10-Codisposal Slopes'!$A$11:$BN$18,MATCH(Summary!BG$1,'RA10-Codisposal Slopes'!$A$9:$BN$9,1),FALSE),0)+IFERROR(VLOOKUP($B14,'IA1-Final Void inc Ramps'!$A$11:$BN$18,MATCH(Summary!BG$1,'IA1-Final Void inc Ramps'!$A$9:$BN$9,1),FALSE),0)</f>
        <v>1901.2130000000002</v>
      </c>
      <c r="BH14" s="51">
        <f>IFERROR(VLOOKUP($B14,'RA1- Elevated Dumps Upper'!$A$11:$BN$18,MATCH(Summary!BH$1,'RA1- Elevated Dumps Upper'!$A$9:$BN$9,1),FALSE),0)+IFERROR(VLOOKUP($B14,'RA2-Elevated Dumps Slopes'!$A$11:$BN$18,MATCH(Summary!BH$1,'RA2-Elevated Dumps Slopes'!$A$9:$BN$9,1),FALSE),0)+IFERROR(VLOOKUP($B14,'RA3-Backfilled Pits'!$A$11:$BN$18,MATCH(Summary!BH$1,'RA3-Backfilled Pits'!$A$9:$BN$9,1),FALSE),0)+IFERROR(VLOOKUP($B14,'RA4-Tracks_Roads'!$A$11:$BN$18,MATCH(Summary!BH$1,'RA4-Tracks_Roads'!$A$9:$BN$9,1),FALSE),0)+IFERROR(VLOOKUP($B14,'RA5-ROM'!$A$11:$BN$18,MATCH(Summary!BH$1,'RA5-ROM'!$A$9:$BN$9,1),FALSE),0)+IFERROR(VLOOKUP($B14,'RA6-CHPP'!$A$11:$BN$18,MATCH(Summary!BH$1,'RA6-CHPP'!$A$9:$BN$9,1),FALSE),0)+IFERROR(VLOOKUP($B14,'RA7-Mine Infrastructure Area'!$A$11:$BN$18,MATCH(Summary!BH$1,'RA7-Mine Infrastructure Area'!$A$9:$BN$9,1),FALSE),0)+IFERROR(VLOOKUP($B14,'RA8-Water Management Structures'!$A$11:$BN$18,MATCH(Summary!BH$1,'RA8-Water Management Structures'!$A$9:$BN$9,1),FALSE),0)+IFERROR(VLOOKUP($B14,'RA9-Codisposal Upper'!$A$11:$BN$18,MATCH(Summary!BH$1,'RA9-Codisposal Upper'!$A$9:$BN$9,1),FALSE),0)+IFERROR(VLOOKUP($B14,'RA10-Codisposal Slopes'!$A$11:$BN$18,MATCH(Summary!BH$1,'RA10-Codisposal Slopes'!$A$9:$BN$9,1),FALSE),0)+IFERROR(VLOOKUP($B14,'IA1-Final Void inc Ramps'!$A$11:$BN$18,MATCH(Summary!BH$1,'IA1-Final Void inc Ramps'!$A$9:$BN$9,1),FALSE),0)</f>
        <v>1901.2130000000002</v>
      </c>
      <c r="BI14" s="51">
        <f>IFERROR(VLOOKUP($B14,'RA1- Elevated Dumps Upper'!$A$11:$BN$18,MATCH(Summary!BI$1,'RA1- Elevated Dumps Upper'!$A$9:$BN$9,1),FALSE),0)+IFERROR(VLOOKUP($B14,'RA2-Elevated Dumps Slopes'!$A$11:$BN$18,MATCH(Summary!BI$1,'RA2-Elevated Dumps Slopes'!$A$9:$BN$9,1),FALSE),0)+IFERROR(VLOOKUP($B14,'RA3-Backfilled Pits'!$A$11:$BN$18,MATCH(Summary!BI$1,'RA3-Backfilled Pits'!$A$9:$BN$9,1),FALSE),0)+IFERROR(VLOOKUP($B14,'RA4-Tracks_Roads'!$A$11:$BN$18,MATCH(Summary!BI$1,'RA4-Tracks_Roads'!$A$9:$BN$9,1),FALSE),0)+IFERROR(VLOOKUP($B14,'RA5-ROM'!$A$11:$BN$18,MATCH(Summary!BI$1,'RA5-ROM'!$A$9:$BN$9,1),FALSE),0)+IFERROR(VLOOKUP($B14,'RA6-CHPP'!$A$11:$BN$18,MATCH(Summary!BI$1,'RA6-CHPP'!$A$9:$BN$9,1),FALSE),0)+IFERROR(VLOOKUP($B14,'RA7-Mine Infrastructure Area'!$A$11:$BN$18,MATCH(Summary!BI$1,'RA7-Mine Infrastructure Area'!$A$9:$BN$9,1),FALSE),0)+IFERROR(VLOOKUP($B14,'RA8-Water Management Structures'!$A$11:$BN$18,MATCH(Summary!BI$1,'RA8-Water Management Structures'!$A$9:$BN$9,1),FALSE),0)+IFERROR(VLOOKUP($B14,'RA9-Codisposal Upper'!$A$11:$BN$18,MATCH(Summary!BI$1,'RA9-Codisposal Upper'!$A$9:$BN$9,1),FALSE),0)+IFERROR(VLOOKUP($B14,'RA10-Codisposal Slopes'!$A$11:$BN$18,MATCH(Summary!BI$1,'RA10-Codisposal Slopes'!$A$9:$BN$9,1),FALSE),0)+IFERROR(VLOOKUP($B14,'IA1-Final Void inc Ramps'!$A$11:$BN$18,MATCH(Summary!BI$1,'IA1-Final Void inc Ramps'!$A$9:$BN$9,1),FALSE),0)</f>
        <v>1901.2130000000002</v>
      </c>
      <c r="BJ14" s="51">
        <f>IFERROR(VLOOKUP($B14,'RA1- Elevated Dumps Upper'!$A$11:$BN$18,MATCH(Summary!BJ$1,'RA1- Elevated Dumps Upper'!$A$9:$BN$9,1),FALSE),0)+IFERROR(VLOOKUP($B14,'RA2-Elevated Dumps Slopes'!$A$11:$BN$18,MATCH(Summary!BJ$1,'RA2-Elevated Dumps Slopes'!$A$9:$BN$9,1),FALSE),0)+IFERROR(VLOOKUP($B14,'RA3-Backfilled Pits'!$A$11:$BN$18,MATCH(Summary!BJ$1,'RA3-Backfilled Pits'!$A$9:$BN$9,1),FALSE),0)+IFERROR(VLOOKUP($B14,'RA4-Tracks_Roads'!$A$11:$BN$18,MATCH(Summary!BJ$1,'RA4-Tracks_Roads'!$A$9:$BN$9,1),FALSE),0)+IFERROR(VLOOKUP($B14,'RA5-ROM'!$A$11:$BN$18,MATCH(Summary!BJ$1,'RA5-ROM'!$A$9:$BN$9,1),FALSE),0)+IFERROR(VLOOKUP($B14,'RA6-CHPP'!$A$11:$BN$18,MATCH(Summary!BJ$1,'RA6-CHPP'!$A$9:$BN$9,1),FALSE),0)+IFERROR(VLOOKUP($B14,'RA7-Mine Infrastructure Area'!$A$11:$BN$18,MATCH(Summary!BJ$1,'RA7-Mine Infrastructure Area'!$A$9:$BN$9,1),FALSE),0)+IFERROR(VLOOKUP($B14,'RA8-Water Management Structures'!$A$11:$BN$18,MATCH(Summary!BJ$1,'RA8-Water Management Structures'!$A$9:$BN$9,1),FALSE),0)+IFERROR(VLOOKUP($B14,'RA9-Codisposal Upper'!$A$11:$BN$18,MATCH(Summary!BJ$1,'RA9-Codisposal Upper'!$A$9:$BN$9,1),FALSE),0)+IFERROR(VLOOKUP($B14,'RA10-Codisposal Slopes'!$A$11:$BN$18,MATCH(Summary!BJ$1,'RA10-Codisposal Slopes'!$A$9:$BN$9,1),FALSE),0)+IFERROR(VLOOKUP($B14,'IA1-Final Void inc Ramps'!$A$11:$BN$18,MATCH(Summary!BJ$1,'IA1-Final Void inc Ramps'!$A$9:$BN$9,1),FALSE),0)</f>
        <v>1901.2130000000002</v>
      </c>
      <c r="BK14" s="51">
        <f>IFERROR(VLOOKUP($B14,'RA1- Elevated Dumps Upper'!$A$11:$BN$18,MATCH(Summary!BK$1,'RA1- Elevated Dumps Upper'!$A$9:$BN$9,1),FALSE),0)+IFERROR(VLOOKUP($B14,'RA2-Elevated Dumps Slopes'!$A$11:$BN$18,MATCH(Summary!BK$1,'RA2-Elevated Dumps Slopes'!$A$9:$BN$9,1),FALSE),0)+IFERROR(VLOOKUP($B14,'RA3-Backfilled Pits'!$A$11:$BN$18,MATCH(Summary!BK$1,'RA3-Backfilled Pits'!$A$9:$BN$9,1),FALSE),0)+IFERROR(VLOOKUP($B14,'RA4-Tracks_Roads'!$A$11:$BN$18,MATCH(Summary!BK$1,'RA4-Tracks_Roads'!$A$9:$BN$9,1),FALSE),0)+IFERROR(VLOOKUP($B14,'RA5-ROM'!$A$11:$BN$18,MATCH(Summary!BK$1,'RA5-ROM'!$A$9:$BN$9,1),FALSE),0)+IFERROR(VLOOKUP($B14,'RA6-CHPP'!$A$11:$BN$18,MATCH(Summary!BK$1,'RA6-CHPP'!$A$9:$BN$9,1),FALSE),0)+IFERROR(VLOOKUP($B14,'RA7-Mine Infrastructure Area'!$A$11:$BN$18,MATCH(Summary!BK$1,'RA7-Mine Infrastructure Area'!$A$9:$BN$9,1),FALSE),0)+IFERROR(VLOOKUP($B14,'RA8-Water Management Structures'!$A$11:$BN$18,MATCH(Summary!BK$1,'RA8-Water Management Structures'!$A$9:$BN$9,1),FALSE),0)+IFERROR(VLOOKUP($B14,'RA9-Codisposal Upper'!$A$11:$BN$18,MATCH(Summary!BK$1,'RA9-Codisposal Upper'!$A$9:$BN$9,1),FALSE),0)+IFERROR(VLOOKUP($B14,'RA10-Codisposal Slopes'!$A$11:$BN$18,MATCH(Summary!BK$1,'RA10-Codisposal Slopes'!$A$9:$BN$9,1),FALSE),0)+IFERROR(VLOOKUP($B14,'IA1-Final Void inc Ramps'!$A$11:$BN$18,MATCH(Summary!BK$1,'IA1-Final Void inc Ramps'!$A$9:$BN$9,1),FALSE),0)</f>
        <v>1901.2130000000002</v>
      </c>
      <c r="BL14" s="51">
        <f>IFERROR(VLOOKUP($B14,'RA1- Elevated Dumps Upper'!$A$11:$BN$18,MATCH(Summary!BL$1,'RA1- Elevated Dumps Upper'!$A$9:$BN$9,1),FALSE),0)+IFERROR(VLOOKUP($B14,'RA2-Elevated Dumps Slopes'!$A$11:$BN$18,MATCH(Summary!BL$1,'RA2-Elevated Dumps Slopes'!$A$9:$BN$9,1),FALSE),0)+IFERROR(VLOOKUP($B14,'RA3-Backfilled Pits'!$A$11:$BN$18,MATCH(Summary!BL$1,'RA3-Backfilled Pits'!$A$9:$BN$9,1),FALSE),0)+IFERROR(VLOOKUP($B14,'RA4-Tracks_Roads'!$A$11:$BN$18,MATCH(Summary!BL$1,'RA4-Tracks_Roads'!$A$9:$BN$9,1),FALSE),0)+IFERROR(VLOOKUP($B14,'RA5-ROM'!$A$11:$BN$18,MATCH(Summary!BL$1,'RA5-ROM'!$A$9:$BN$9,1),FALSE),0)+IFERROR(VLOOKUP($B14,'RA6-CHPP'!$A$11:$BN$18,MATCH(Summary!BL$1,'RA6-CHPP'!$A$9:$BN$9,1),FALSE),0)+IFERROR(VLOOKUP($B14,'RA7-Mine Infrastructure Area'!$A$11:$BN$18,MATCH(Summary!BL$1,'RA7-Mine Infrastructure Area'!$A$9:$BN$9,1),FALSE),0)+IFERROR(VLOOKUP($B14,'RA8-Water Management Structures'!$A$11:$BN$18,MATCH(Summary!BL$1,'RA8-Water Management Structures'!$A$9:$BN$9,1),FALSE),0)+IFERROR(VLOOKUP($B14,'RA9-Codisposal Upper'!$A$11:$BN$18,MATCH(Summary!BL$1,'RA9-Codisposal Upper'!$A$9:$BN$9,1),FALSE),0)+IFERROR(VLOOKUP($B14,'RA10-Codisposal Slopes'!$A$11:$BN$18,MATCH(Summary!BL$1,'RA10-Codisposal Slopes'!$A$9:$BN$9,1),FALSE),0)+IFERROR(VLOOKUP($B14,'IA1-Final Void inc Ramps'!$A$11:$BN$18,MATCH(Summary!BL$1,'IA1-Final Void inc Ramps'!$A$9:$BN$9,1),FALSE),0)</f>
        <v>1901.2130000000002</v>
      </c>
      <c r="BM14" s="51">
        <f>IFERROR(VLOOKUP($B14,'RA1- Elevated Dumps Upper'!$A$11:$BN$18,MATCH(Summary!BM$1,'RA1- Elevated Dumps Upper'!$A$9:$BN$9,1),FALSE),0)+IFERROR(VLOOKUP($B14,'RA2-Elevated Dumps Slopes'!$A$11:$BN$18,MATCH(Summary!BM$1,'RA2-Elevated Dumps Slopes'!$A$9:$BN$9,1),FALSE),0)+IFERROR(VLOOKUP($B14,'RA3-Backfilled Pits'!$A$11:$BN$18,MATCH(Summary!BM$1,'RA3-Backfilled Pits'!$A$9:$BN$9,1),FALSE),0)+IFERROR(VLOOKUP($B14,'RA4-Tracks_Roads'!$A$11:$BN$18,MATCH(Summary!BM$1,'RA4-Tracks_Roads'!$A$9:$BN$9,1),FALSE),0)+IFERROR(VLOOKUP($B14,'RA5-ROM'!$A$11:$BN$18,MATCH(Summary!BM$1,'RA5-ROM'!$A$9:$BN$9,1),FALSE),0)+IFERROR(VLOOKUP($B14,'RA6-CHPP'!$A$11:$BN$18,MATCH(Summary!BM$1,'RA6-CHPP'!$A$9:$BN$9,1),FALSE),0)+IFERROR(VLOOKUP($B14,'RA7-Mine Infrastructure Area'!$A$11:$BN$18,MATCH(Summary!BM$1,'RA7-Mine Infrastructure Area'!$A$9:$BN$9,1),FALSE),0)+IFERROR(VLOOKUP($B14,'RA8-Water Management Structures'!$A$11:$BN$18,MATCH(Summary!BM$1,'RA8-Water Management Structures'!$A$9:$BN$9,1),FALSE),0)+IFERROR(VLOOKUP($B14,'RA9-Codisposal Upper'!$A$11:$BN$18,MATCH(Summary!BM$1,'RA9-Codisposal Upper'!$A$9:$BN$9,1),FALSE),0)+IFERROR(VLOOKUP($B14,'RA10-Codisposal Slopes'!$A$11:$BN$18,MATCH(Summary!BM$1,'RA10-Codisposal Slopes'!$A$9:$BN$9,1),FALSE),0)+IFERROR(VLOOKUP($B14,'IA1-Final Void inc Ramps'!$A$11:$BN$18,MATCH(Summary!BM$1,'IA1-Final Void inc Ramps'!$A$9:$BN$9,1),FALSE),0)</f>
        <v>1901.2130000000002</v>
      </c>
      <c r="BN14" s="51">
        <f>IFERROR(VLOOKUP($B14,'RA1- Elevated Dumps Upper'!$A$11:$BN$18,MATCH(Summary!BN$1,'RA1- Elevated Dumps Upper'!$A$9:$BN$9,1),FALSE),0)+IFERROR(VLOOKUP($B14,'RA2-Elevated Dumps Slopes'!$A$11:$BN$18,MATCH(Summary!BN$1,'RA2-Elevated Dumps Slopes'!$A$9:$BN$9,1),FALSE),0)+IFERROR(VLOOKUP($B14,'RA3-Backfilled Pits'!$A$11:$BN$18,MATCH(Summary!BN$1,'RA3-Backfilled Pits'!$A$9:$BN$9,1),FALSE),0)+IFERROR(VLOOKUP($B14,'RA4-Tracks_Roads'!$A$11:$BN$18,MATCH(Summary!BN$1,'RA4-Tracks_Roads'!$A$9:$BN$9,1),FALSE),0)+IFERROR(VLOOKUP($B14,'RA5-ROM'!$A$11:$BN$18,MATCH(Summary!BN$1,'RA5-ROM'!$A$9:$BN$9,1),FALSE),0)+IFERROR(VLOOKUP($B14,'RA6-CHPP'!$A$11:$BN$18,MATCH(Summary!BN$1,'RA6-CHPP'!$A$9:$BN$9,1),FALSE),0)+IFERROR(VLOOKUP($B14,'RA7-Mine Infrastructure Area'!$A$11:$BN$18,MATCH(Summary!BN$1,'RA7-Mine Infrastructure Area'!$A$9:$BN$9,1),FALSE),0)+IFERROR(VLOOKUP($B14,'RA8-Water Management Structures'!$A$11:$BN$18,MATCH(Summary!BN$1,'RA8-Water Management Structures'!$A$9:$BN$9,1),FALSE),0)+IFERROR(VLOOKUP($B14,'RA9-Codisposal Upper'!$A$11:$BN$18,MATCH(Summary!BN$1,'RA9-Codisposal Upper'!$A$9:$BN$9,1),FALSE),0)+IFERROR(VLOOKUP($B14,'RA10-Codisposal Slopes'!$A$11:$BN$18,MATCH(Summary!BN$1,'RA10-Codisposal Slopes'!$A$9:$BN$9,1),FALSE),0)+IFERROR(VLOOKUP($B14,'IA1-Final Void inc Ramps'!$A$11:$BN$18,MATCH(Summary!BN$1,'IA1-Final Void inc Ramps'!$A$9:$BN$9,1),FALSE),0)</f>
        <v>1901.2130000000002</v>
      </c>
    </row>
    <row r="15" spans="1:66" x14ac:dyDescent="0.35">
      <c r="B15" t="s">
        <v>8</v>
      </c>
      <c r="D15" s="51">
        <f>IFERROR(VLOOKUP($B15,'RA1- Elevated Dumps Upper'!$A$11:$BN$18,MATCH(Summary!D$1,'RA1- Elevated Dumps Upper'!$A$9:$BN$9,1),FALSE),0)+IFERROR(VLOOKUP($B15,'RA2-Elevated Dumps Slopes'!$A$11:$BN$18,MATCH(Summary!D$1,'RA2-Elevated Dumps Slopes'!$A$9:$BN$9,1),FALSE),0)+IFERROR(VLOOKUP($B15,'RA3-Backfilled Pits'!$A$11:$BN$18,MATCH(Summary!D$1,'RA3-Backfilled Pits'!$A$9:$BN$9,1),FALSE),0)+IFERROR(VLOOKUP($B15,'RA4-Tracks_Roads'!$A$11:$BN$18,MATCH(Summary!D$1,'RA4-Tracks_Roads'!$A$9:$BN$9,1),FALSE),0)+IFERROR(VLOOKUP($B15,'RA5-ROM'!$A$11:$BN$18,MATCH(Summary!D$1,'RA5-ROM'!$A$9:$BN$9,1),FALSE),0)+IFERROR(VLOOKUP($B15,'RA6-CHPP'!$A$11:$BN$18,MATCH(Summary!D$1,'RA6-CHPP'!$A$9:$BN$9,1),FALSE),0)+IFERROR(VLOOKUP($B15,'RA7-Mine Infrastructure Area'!$A$11:$BN$18,MATCH(Summary!D$1,'RA7-Mine Infrastructure Area'!$A$9:$BN$9,1),FALSE),0)+IFERROR(VLOOKUP($B15,'RA8-Water Management Structures'!$A$11:$BN$18,MATCH(Summary!D$1,'RA8-Water Management Structures'!$A$9:$BN$9,1),FALSE),0)+IFERROR(VLOOKUP($B15,'RA9-Codisposal Upper'!$A$11:$BN$18,MATCH(Summary!D$1,'RA9-Codisposal Upper'!$A$9:$BN$9,1),FALSE),0)+IFERROR(VLOOKUP($B15,'RA10-Codisposal Slopes'!$A$11:$BN$18,MATCH(Summary!D$1,'RA10-Codisposal Slopes'!$A$9:$BN$9,1),FALSE),0)+IFERROR(VLOOKUP($B15,'IA1-Final Void inc Ramps'!$A$11:$BN$18,MATCH(Summary!D$1,'IA1-Final Void inc Ramps'!$A$9:$BN$9,1),FALSE),0)</f>
        <v>0</v>
      </c>
      <c r="E15" s="51">
        <f>IFERROR(VLOOKUP($B15,'RA1- Elevated Dumps Upper'!$A$11:$BN$18,MATCH(Summary!E$1,'RA1- Elevated Dumps Upper'!$A$9:$BN$9,1),FALSE),0)+IFERROR(VLOOKUP($B15,'RA2-Elevated Dumps Slopes'!$A$11:$BN$18,MATCH(Summary!E$1,'RA2-Elevated Dumps Slopes'!$A$9:$BN$9,1),FALSE),0)+IFERROR(VLOOKUP($B15,'RA3-Backfilled Pits'!$A$11:$BN$18,MATCH(Summary!E$1,'RA3-Backfilled Pits'!$A$9:$BN$9,1),FALSE),0)+IFERROR(VLOOKUP($B15,'RA4-Tracks_Roads'!$A$11:$BN$18,MATCH(Summary!E$1,'RA4-Tracks_Roads'!$A$9:$BN$9,1),FALSE),0)+IFERROR(VLOOKUP($B15,'RA5-ROM'!$A$11:$BN$18,MATCH(Summary!E$1,'RA5-ROM'!$A$9:$BN$9,1),FALSE),0)+IFERROR(VLOOKUP($B15,'RA6-CHPP'!$A$11:$BN$18,MATCH(Summary!E$1,'RA6-CHPP'!$A$9:$BN$9,1),FALSE),0)+IFERROR(VLOOKUP($B15,'RA7-Mine Infrastructure Area'!$A$11:$BN$18,MATCH(Summary!E$1,'RA7-Mine Infrastructure Area'!$A$9:$BN$9,1),FALSE),0)+IFERROR(VLOOKUP($B15,'RA8-Water Management Structures'!$A$11:$BN$18,MATCH(Summary!E$1,'RA8-Water Management Structures'!$A$9:$BN$9,1),FALSE),0)+IFERROR(VLOOKUP($B15,'RA9-Codisposal Upper'!$A$11:$BN$18,MATCH(Summary!E$1,'RA9-Codisposal Upper'!$A$9:$BN$9,1),FALSE),0)+IFERROR(VLOOKUP($B15,'RA10-Codisposal Slopes'!$A$11:$BN$18,MATCH(Summary!E$1,'RA10-Codisposal Slopes'!$A$9:$BN$9,1),FALSE),0)+IFERROR(VLOOKUP($B15,'IA1-Final Void inc Ramps'!$A$11:$BN$18,MATCH(Summary!E$1,'IA1-Final Void inc Ramps'!$A$9:$BN$9,1),FALSE),0)</f>
        <v>0</v>
      </c>
      <c r="F15" s="51">
        <f>IFERROR(VLOOKUP($B15,'RA1- Elevated Dumps Upper'!$A$11:$BN$18,MATCH(Summary!F$1,'RA1- Elevated Dumps Upper'!$A$9:$BN$9,1),FALSE),0)+IFERROR(VLOOKUP($B15,'RA2-Elevated Dumps Slopes'!$A$11:$BN$18,MATCH(Summary!F$1,'RA2-Elevated Dumps Slopes'!$A$9:$BN$9,1),FALSE),0)+IFERROR(VLOOKUP($B15,'RA3-Backfilled Pits'!$A$11:$BN$18,MATCH(Summary!F$1,'RA3-Backfilled Pits'!$A$9:$BN$9,1),FALSE),0)+IFERROR(VLOOKUP($B15,'RA4-Tracks_Roads'!$A$11:$BN$18,MATCH(Summary!F$1,'RA4-Tracks_Roads'!$A$9:$BN$9,1),FALSE),0)+IFERROR(VLOOKUP($B15,'RA5-ROM'!$A$11:$BN$18,MATCH(Summary!F$1,'RA5-ROM'!$A$9:$BN$9,1),FALSE),0)+IFERROR(VLOOKUP($B15,'RA6-CHPP'!$A$11:$BN$18,MATCH(Summary!F$1,'RA6-CHPP'!$A$9:$BN$9,1),FALSE),0)+IFERROR(VLOOKUP($B15,'RA7-Mine Infrastructure Area'!$A$11:$BN$18,MATCH(Summary!F$1,'RA7-Mine Infrastructure Area'!$A$9:$BN$9,1),FALSE),0)+IFERROR(VLOOKUP($B15,'RA8-Water Management Structures'!$A$11:$BN$18,MATCH(Summary!F$1,'RA8-Water Management Structures'!$A$9:$BN$9,1),FALSE),0)+IFERROR(VLOOKUP($B15,'RA9-Codisposal Upper'!$A$11:$BN$18,MATCH(Summary!F$1,'RA9-Codisposal Upper'!$A$9:$BN$9,1),FALSE),0)+IFERROR(VLOOKUP($B15,'RA10-Codisposal Slopes'!$A$11:$BN$18,MATCH(Summary!F$1,'RA10-Codisposal Slopes'!$A$9:$BN$9,1),FALSE),0)+IFERROR(VLOOKUP($B15,'IA1-Final Void inc Ramps'!$A$11:$BN$18,MATCH(Summary!F$1,'IA1-Final Void inc Ramps'!$A$9:$BN$9,1),FALSE),0)</f>
        <v>0</v>
      </c>
      <c r="G15" s="51">
        <f>IFERROR(VLOOKUP($B15,'RA1- Elevated Dumps Upper'!$A$11:$BN$18,MATCH(Summary!G$1,'RA1- Elevated Dumps Upper'!$A$9:$BN$9,1),FALSE),0)+IFERROR(VLOOKUP($B15,'RA2-Elevated Dumps Slopes'!$A$11:$BN$18,MATCH(Summary!G$1,'RA2-Elevated Dumps Slopes'!$A$9:$BN$9,1),FALSE),0)+IFERROR(VLOOKUP($B15,'RA3-Backfilled Pits'!$A$11:$BN$18,MATCH(Summary!G$1,'RA3-Backfilled Pits'!$A$9:$BN$9,1),FALSE),0)+IFERROR(VLOOKUP($B15,'RA4-Tracks_Roads'!$A$11:$BN$18,MATCH(Summary!G$1,'RA4-Tracks_Roads'!$A$9:$BN$9,1),FALSE),0)+IFERROR(VLOOKUP($B15,'RA5-ROM'!$A$11:$BN$18,MATCH(Summary!G$1,'RA5-ROM'!$A$9:$BN$9,1),FALSE),0)+IFERROR(VLOOKUP($B15,'RA6-CHPP'!$A$11:$BN$18,MATCH(Summary!G$1,'RA6-CHPP'!$A$9:$BN$9,1),FALSE),0)+IFERROR(VLOOKUP($B15,'RA7-Mine Infrastructure Area'!$A$11:$BN$18,MATCH(Summary!G$1,'RA7-Mine Infrastructure Area'!$A$9:$BN$9,1),FALSE),0)+IFERROR(VLOOKUP($B15,'RA8-Water Management Structures'!$A$11:$BN$18,MATCH(Summary!G$1,'RA8-Water Management Structures'!$A$9:$BN$9,1),FALSE),0)+IFERROR(VLOOKUP($B15,'RA9-Codisposal Upper'!$A$11:$BN$18,MATCH(Summary!G$1,'RA9-Codisposal Upper'!$A$9:$BN$9,1),FALSE),0)+IFERROR(VLOOKUP($B15,'RA10-Codisposal Slopes'!$A$11:$BN$18,MATCH(Summary!G$1,'RA10-Codisposal Slopes'!$A$9:$BN$9,1),FALSE),0)+IFERROR(VLOOKUP($B15,'IA1-Final Void inc Ramps'!$A$11:$BN$18,MATCH(Summary!G$1,'IA1-Final Void inc Ramps'!$A$9:$BN$9,1),FALSE),0)</f>
        <v>0</v>
      </c>
      <c r="H15" s="51">
        <f>IFERROR(VLOOKUP($B15,'RA1- Elevated Dumps Upper'!$A$11:$BN$18,MATCH(Summary!H$1,'RA1- Elevated Dumps Upper'!$A$9:$BN$9,1),FALSE),0)+IFERROR(VLOOKUP($B15,'RA2-Elevated Dumps Slopes'!$A$11:$BN$18,MATCH(Summary!H$1,'RA2-Elevated Dumps Slopes'!$A$9:$BN$9,1),FALSE),0)+IFERROR(VLOOKUP($B15,'RA3-Backfilled Pits'!$A$11:$BN$18,MATCH(Summary!H$1,'RA3-Backfilled Pits'!$A$9:$BN$9,1),FALSE),0)+IFERROR(VLOOKUP($B15,'RA4-Tracks_Roads'!$A$11:$BN$18,MATCH(Summary!H$1,'RA4-Tracks_Roads'!$A$9:$BN$9,1),FALSE),0)+IFERROR(VLOOKUP($B15,'RA5-ROM'!$A$11:$BN$18,MATCH(Summary!H$1,'RA5-ROM'!$A$9:$BN$9,1),FALSE),0)+IFERROR(VLOOKUP($B15,'RA6-CHPP'!$A$11:$BN$18,MATCH(Summary!H$1,'RA6-CHPP'!$A$9:$BN$9,1),FALSE),0)+IFERROR(VLOOKUP($B15,'RA7-Mine Infrastructure Area'!$A$11:$BN$18,MATCH(Summary!H$1,'RA7-Mine Infrastructure Area'!$A$9:$BN$9,1),FALSE),0)+IFERROR(VLOOKUP($B15,'RA8-Water Management Structures'!$A$11:$BN$18,MATCH(Summary!H$1,'RA8-Water Management Structures'!$A$9:$BN$9,1),FALSE),0)+IFERROR(VLOOKUP($B15,'RA9-Codisposal Upper'!$A$11:$BN$18,MATCH(Summary!H$1,'RA9-Codisposal Upper'!$A$9:$BN$9,1),FALSE),0)+IFERROR(VLOOKUP($B15,'RA10-Codisposal Slopes'!$A$11:$BN$18,MATCH(Summary!H$1,'RA10-Codisposal Slopes'!$A$9:$BN$9,1),FALSE),0)+IFERROR(VLOOKUP($B15,'IA1-Final Void inc Ramps'!$A$11:$BN$18,MATCH(Summary!H$1,'IA1-Final Void inc Ramps'!$A$9:$BN$9,1),FALSE),0)</f>
        <v>0</v>
      </c>
      <c r="I15" s="51">
        <f>IFERROR(VLOOKUP($B15,'RA1- Elevated Dumps Upper'!$A$11:$BN$18,MATCH(Summary!I$1,'RA1- Elevated Dumps Upper'!$A$9:$BN$9,1),FALSE),0)+IFERROR(VLOOKUP($B15,'RA2-Elevated Dumps Slopes'!$A$11:$BN$18,MATCH(Summary!I$1,'RA2-Elevated Dumps Slopes'!$A$9:$BN$9,1),FALSE),0)+IFERROR(VLOOKUP($B15,'RA3-Backfilled Pits'!$A$11:$BN$18,MATCH(Summary!I$1,'RA3-Backfilled Pits'!$A$9:$BN$9,1),FALSE),0)+IFERROR(VLOOKUP($B15,'RA4-Tracks_Roads'!$A$11:$BN$18,MATCH(Summary!I$1,'RA4-Tracks_Roads'!$A$9:$BN$9,1),FALSE),0)+IFERROR(VLOOKUP($B15,'RA5-ROM'!$A$11:$BN$18,MATCH(Summary!I$1,'RA5-ROM'!$A$9:$BN$9,1),FALSE),0)+IFERROR(VLOOKUP($B15,'RA6-CHPP'!$A$11:$BN$18,MATCH(Summary!I$1,'RA6-CHPP'!$A$9:$BN$9,1),FALSE),0)+IFERROR(VLOOKUP($B15,'RA7-Mine Infrastructure Area'!$A$11:$BN$18,MATCH(Summary!I$1,'RA7-Mine Infrastructure Area'!$A$9:$BN$9,1),FALSE),0)+IFERROR(VLOOKUP($B15,'RA8-Water Management Structures'!$A$11:$BN$18,MATCH(Summary!I$1,'RA8-Water Management Structures'!$A$9:$BN$9,1),FALSE),0)+IFERROR(VLOOKUP($B15,'RA9-Codisposal Upper'!$A$11:$BN$18,MATCH(Summary!I$1,'RA9-Codisposal Upper'!$A$9:$BN$9,1),FALSE),0)+IFERROR(VLOOKUP($B15,'RA10-Codisposal Slopes'!$A$11:$BN$18,MATCH(Summary!I$1,'RA10-Codisposal Slopes'!$A$9:$BN$9,1),FALSE),0)+IFERROR(VLOOKUP($B15,'IA1-Final Void inc Ramps'!$A$11:$BN$18,MATCH(Summary!I$1,'IA1-Final Void inc Ramps'!$A$9:$BN$9,1),FALSE),0)</f>
        <v>0</v>
      </c>
      <c r="J15" s="51">
        <f>IFERROR(VLOOKUP($B15,'RA1- Elevated Dumps Upper'!$A$11:$BN$18,MATCH(Summary!J$1,'RA1- Elevated Dumps Upper'!$A$9:$BN$9,1),FALSE),0)+IFERROR(VLOOKUP($B15,'RA2-Elevated Dumps Slopes'!$A$11:$BN$18,MATCH(Summary!J$1,'RA2-Elevated Dumps Slopes'!$A$9:$BN$9,1),FALSE),0)+IFERROR(VLOOKUP($B15,'RA3-Backfilled Pits'!$A$11:$BN$18,MATCH(Summary!J$1,'RA3-Backfilled Pits'!$A$9:$BN$9,1),FALSE),0)+IFERROR(VLOOKUP($B15,'RA4-Tracks_Roads'!$A$11:$BN$18,MATCH(Summary!J$1,'RA4-Tracks_Roads'!$A$9:$BN$9,1),FALSE),0)+IFERROR(VLOOKUP($B15,'RA5-ROM'!$A$11:$BN$18,MATCH(Summary!J$1,'RA5-ROM'!$A$9:$BN$9,1),FALSE),0)+IFERROR(VLOOKUP($B15,'RA6-CHPP'!$A$11:$BN$18,MATCH(Summary!J$1,'RA6-CHPP'!$A$9:$BN$9,1),FALSE),0)+IFERROR(VLOOKUP($B15,'RA7-Mine Infrastructure Area'!$A$11:$BN$18,MATCH(Summary!J$1,'RA7-Mine Infrastructure Area'!$A$9:$BN$9,1),FALSE),0)+IFERROR(VLOOKUP($B15,'RA8-Water Management Structures'!$A$11:$BN$18,MATCH(Summary!J$1,'RA8-Water Management Structures'!$A$9:$BN$9,1),FALSE),0)+IFERROR(VLOOKUP($B15,'RA9-Codisposal Upper'!$A$11:$BN$18,MATCH(Summary!J$1,'RA9-Codisposal Upper'!$A$9:$BN$9,1),FALSE),0)+IFERROR(VLOOKUP($B15,'RA10-Codisposal Slopes'!$A$11:$BN$18,MATCH(Summary!J$1,'RA10-Codisposal Slopes'!$A$9:$BN$9,1),FALSE),0)+IFERROR(VLOOKUP($B15,'IA1-Final Void inc Ramps'!$A$11:$BN$18,MATCH(Summary!J$1,'IA1-Final Void inc Ramps'!$A$9:$BN$9,1),FALSE),0)</f>
        <v>0</v>
      </c>
      <c r="K15" s="51">
        <f>IFERROR(VLOOKUP($B15,'RA1- Elevated Dumps Upper'!$A$11:$BN$18,MATCH(Summary!K$1,'RA1- Elevated Dumps Upper'!$A$9:$BN$9,1),FALSE),0)+IFERROR(VLOOKUP($B15,'RA2-Elevated Dumps Slopes'!$A$11:$BN$18,MATCH(Summary!K$1,'RA2-Elevated Dumps Slopes'!$A$9:$BN$9,1),FALSE),0)+IFERROR(VLOOKUP($B15,'RA3-Backfilled Pits'!$A$11:$BN$18,MATCH(Summary!K$1,'RA3-Backfilled Pits'!$A$9:$BN$9,1),FALSE),0)+IFERROR(VLOOKUP($B15,'RA4-Tracks_Roads'!$A$11:$BN$18,MATCH(Summary!K$1,'RA4-Tracks_Roads'!$A$9:$BN$9,1),FALSE),0)+IFERROR(VLOOKUP($B15,'RA5-ROM'!$A$11:$BN$18,MATCH(Summary!K$1,'RA5-ROM'!$A$9:$BN$9,1),FALSE),0)+IFERROR(VLOOKUP($B15,'RA6-CHPP'!$A$11:$BN$18,MATCH(Summary!K$1,'RA6-CHPP'!$A$9:$BN$9,1),FALSE),0)+IFERROR(VLOOKUP($B15,'RA7-Mine Infrastructure Area'!$A$11:$BN$18,MATCH(Summary!K$1,'RA7-Mine Infrastructure Area'!$A$9:$BN$9,1),FALSE),0)+IFERROR(VLOOKUP($B15,'RA8-Water Management Structures'!$A$11:$BN$18,MATCH(Summary!K$1,'RA8-Water Management Structures'!$A$9:$BN$9,1),FALSE),0)+IFERROR(VLOOKUP($B15,'RA9-Codisposal Upper'!$A$11:$BN$18,MATCH(Summary!K$1,'RA9-Codisposal Upper'!$A$9:$BN$9,1),FALSE),0)+IFERROR(VLOOKUP($B15,'RA10-Codisposal Slopes'!$A$11:$BN$18,MATCH(Summary!K$1,'RA10-Codisposal Slopes'!$A$9:$BN$9,1),FALSE),0)+IFERROR(VLOOKUP($B15,'IA1-Final Void inc Ramps'!$A$11:$BN$18,MATCH(Summary!K$1,'IA1-Final Void inc Ramps'!$A$9:$BN$9,1),FALSE),0)</f>
        <v>0</v>
      </c>
      <c r="L15" s="51">
        <f>IFERROR(VLOOKUP($B15,'RA1- Elevated Dumps Upper'!$A$11:$BN$18,MATCH(Summary!L$1,'RA1- Elevated Dumps Upper'!$A$9:$BN$9,1),FALSE),0)+IFERROR(VLOOKUP($B15,'RA2-Elevated Dumps Slopes'!$A$11:$BN$18,MATCH(Summary!L$1,'RA2-Elevated Dumps Slopes'!$A$9:$BN$9,1),FALSE),0)+IFERROR(VLOOKUP($B15,'RA3-Backfilled Pits'!$A$11:$BN$18,MATCH(Summary!L$1,'RA3-Backfilled Pits'!$A$9:$BN$9,1),FALSE),0)+IFERROR(VLOOKUP($B15,'RA4-Tracks_Roads'!$A$11:$BN$18,MATCH(Summary!L$1,'RA4-Tracks_Roads'!$A$9:$BN$9,1),FALSE),0)+IFERROR(VLOOKUP($B15,'RA5-ROM'!$A$11:$BN$18,MATCH(Summary!L$1,'RA5-ROM'!$A$9:$BN$9,1),FALSE),0)+IFERROR(VLOOKUP($B15,'RA6-CHPP'!$A$11:$BN$18,MATCH(Summary!L$1,'RA6-CHPP'!$A$9:$BN$9,1),FALSE),0)+IFERROR(VLOOKUP($B15,'RA7-Mine Infrastructure Area'!$A$11:$BN$18,MATCH(Summary!L$1,'RA7-Mine Infrastructure Area'!$A$9:$BN$9,1),FALSE),0)+IFERROR(VLOOKUP($B15,'RA8-Water Management Structures'!$A$11:$BN$18,MATCH(Summary!L$1,'RA8-Water Management Structures'!$A$9:$BN$9,1),FALSE),0)+IFERROR(VLOOKUP($B15,'RA9-Codisposal Upper'!$A$11:$BN$18,MATCH(Summary!L$1,'RA9-Codisposal Upper'!$A$9:$BN$9,1),FALSE),0)+IFERROR(VLOOKUP($B15,'RA10-Codisposal Slopes'!$A$11:$BN$18,MATCH(Summary!L$1,'RA10-Codisposal Slopes'!$A$9:$BN$9,1),FALSE),0)+IFERROR(VLOOKUP($B15,'IA1-Final Void inc Ramps'!$A$11:$BN$18,MATCH(Summary!L$1,'IA1-Final Void inc Ramps'!$A$9:$BN$9,1),FALSE),0)</f>
        <v>0</v>
      </c>
      <c r="M15" s="51">
        <f>IFERROR(VLOOKUP($B15,'RA1- Elevated Dumps Upper'!$A$11:$BN$18,MATCH(Summary!M$1,'RA1- Elevated Dumps Upper'!$A$9:$BN$9,1),FALSE),0)+IFERROR(VLOOKUP($B15,'RA2-Elevated Dumps Slopes'!$A$11:$BN$18,MATCH(Summary!M$1,'RA2-Elevated Dumps Slopes'!$A$9:$BN$9,1),FALSE),0)+IFERROR(VLOOKUP($B15,'RA3-Backfilled Pits'!$A$11:$BN$18,MATCH(Summary!M$1,'RA3-Backfilled Pits'!$A$9:$BN$9,1),FALSE),0)+IFERROR(VLOOKUP($B15,'RA4-Tracks_Roads'!$A$11:$BN$18,MATCH(Summary!M$1,'RA4-Tracks_Roads'!$A$9:$BN$9,1),FALSE),0)+IFERROR(VLOOKUP($B15,'RA5-ROM'!$A$11:$BN$18,MATCH(Summary!M$1,'RA5-ROM'!$A$9:$BN$9,1),FALSE),0)+IFERROR(VLOOKUP($B15,'RA6-CHPP'!$A$11:$BN$18,MATCH(Summary!M$1,'RA6-CHPP'!$A$9:$BN$9,1),FALSE),0)+IFERROR(VLOOKUP($B15,'RA7-Mine Infrastructure Area'!$A$11:$BN$18,MATCH(Summary!M$1,'RA7-Mine Infrastructure Area'!$A$9:$BN$9,1),FALSE),0)+IFERROR(VLOOKUP($B15,'RA8-Water Management Structures'!$A$11:$BN$18,MATCH(Summary!M$1,'RA8-Water Management Structures'!$A$9:$BN$9,1),FALSE),0)+IFERROR(VLOOKUP($B15,'RA9-Codisposal Upper'!$A$11:$BN$18,MATCH(Summary!M$1,'RA9-Codisposal Upper'!$A$9:$BN$9,1),FALSE),0)+IFERROR(VLOOKUP($B15,'RA10-Codisposal Slopes'!$A$11:$BN$18,MATCH(Summary!M$1,'RA10-Codisposal Slopes'!$A$9:$BN$9,1),FALSE),0)+IFERROR(VLOOKUP($B15,'IA1-Final Void inc Ramps'!$A$11:$BN$18,MATCH(Summary!M$1,'IA1-Final Void inc Ramps'!$A$9:$BN$9,1),FALSE),0)</f>
        <v>0</v>
      </c>
      <c r="N15" s="51">
        <f>IFERROR(VLOOKUP($B15,'RA1- Elevated Dumps Upper'!$A$11:$BN$18,MATCH(Summary!N$1,'RA1- Elevated Dumps Upper'!$A$9:$BN$9,1),FALSE),0)+IFERROR(VLOOKUP($B15,'RA2-Elevated Dumps Slopes'!$A$11:$BN$18,MATCH(Summary!N$1,'RA2-Elevated Dumps Slopes'!$A$9:$BN$9,1),FALSE),0)+IFERROR(VLOOKUP($B15,'RA3-Backfilled Pits'!$A$11:$BN$18,MATCH(Summary!N$1,'RA3-Backfilled Pits'!$A$9:$BN$9,1),FALSE),0)+IFERROR(VLOOKUP($B15,'RA4-Tracks_Roads'!$A$11:$BN$18,MATCH(Summary!N$1,'RA4-Tracks_Roads'!$A$9:$BN$9,1),FALSE),0)+IFERROR(VLOOKUP($B15,'RA5-ROM'!$A$11:$BN$18,MATCH(Summary!N$1,'RA5-ROM'!$A$9:$BN$9,1),FALSE),0)+IFERROR(VLOOKUP($B15,'RA6-CHPP'!$A$11:$BN$18,MATCH(Summary!N$1,'RA6-CHPP'!$A$9:$BN$9,1),FALSE),0)+IFERROR(VLOOKUP($B15,'RA7-Mine Infrastructure Area'!$A$11:$BN$18,MATCH(Summary!N$1,'RA7-Mine Infrastructure Area'!$A$9:$BN$9,1),FALSE),0)+IFERROR(VLOOKUP($B15,'RA8-Water Management Structures'!$A$11:$BN$18,MATCH(Summary!N$1,'RA8-Water Management Structures'!$A$9:$BN$9,1),FALSE),0)+IFERROR(VLOOKUP($B15,'RA9-Codisposal Upper'!$A$11:$BN$18,MATCH(Summary!N$1,'RA9-Codisposal Upper'!$A$9:$BN$9,1),FALSE),0)+IFERROR(VLOOKUP($B15,'RA10-Codisposal Slopes'!$A$11:$BN$18,MATCH(Summary!N$1,'RA10-Codisposal Slopes'!$A$9:$BN$9,1),FALSE),0)+IFERROR(VLOOKUP($B15,'IA1-Final Void inc Ramps'!$A$11:$BN$18,MATCH(Summary!N$1,'IA1-Final Void inc Ramps'!$A$9:$BN$9,1),FALSE),0)</f>
        <v>0</v>
      </c>
      <c r="O15" s="51">
        <f>IFERROR(VLOOKUP($B15,'RA1- Elevated Dumps Upper'!$A$11:$BN$18,MATCH(Summary!O$1,'RA1- Elevated Dumps Upper'!$A$9:$BN$9,1),FALSE),0)+IFERROR(VLOOKUP($B15,'RA2-Elevated Dumps Slopes'!$A$11:$BN$18,MATCH(Summary!O$1,'RA2-Elevated Dumps Slopes'!$A$9:$BN$9,1),FALSE),0)+IFERROR(VLOOKUP($B15,'RA3-Backfilled Pits'!$A$11:$BN$18,MATCH(Summary!O$1,'RA3-Backfilled Pits'!$A$9:$BN$9,1),FALSE),0)+IFERROR(VLOOKUP($B15,'RA4-Tracks_Roads'!$A$11:$BN$18,MATCH(Summary!O$1,'RA4-Tracks_Roads'!$A$9:$BN$9,1),FALSE),0)+IFERROR(VLOOKUP($B15,'RA5-ROM'!$A$11:$BN$18,MATCH(Summary!O$1,'RA5-ROM'!$A$9:$BN$9,1),FALSE),0)+IFERROR(VLOOKUP($B15,'RA6-CHPP'!$A$11:$BN$18,MATCH(Summary!O$1,'RA6-CHPP'!$A$9:$BN$9,1),FALSE),0)+IFERROR(VLOOKUP($B15,'RA7-Mine Infrastructure Area'!$A$11:$BN$18,MATCH(Summary!O$1,'RA7-Mine Infrastructure Area'!$A$9:$BN$9,1),FALSE),0)+IFERROR(VLOOKUP($B15,'RA8-Water Management Structures'!$A$11:$BN$18,MATCH(Summary!O$1,'RA8-Water Management Structures'!$A$9:$BN$9,1),FALSE),0)+IFERROR(VLOOKUP($B15,'RA9-Codisposal Upper'!$A$11:$BN$18,MATCH(Summary!O$1,'RA9-Codisposal Upper'!$A$9:$BN$9,1),FALSE),0)+IFERROR(VLOOKUP($B15,'RA10-Codisposal Slopes'!$A$11:$BN$18,MATCH(Summary!O$1,'RA10-Codisposal Slopes'!$A$9:$BN$9,1),FALSE),0)+IFERROR(VLOOKUP($B15,'IA1-Final Void inc Ramps'!$A$11:$BN$18,MATCH(Summary!O$1,'IA1-Final Void inc Ramps'!$A$9:$BN$9,1),FALSE),0)</f>
        <v>0</v>
      </c>
      <c r="P15" s="51">
        <f>IFERROR(VLOOKUP($B15,'RA1- Elevated Dumps Upper'!$A$11:$BN$18,MATCH(Summary!P$1,'RA1- Elevated Dumps Upper'!$A$9:$BN$9,1),FALSE),0)+IFERROR(VLOOKUP($B15,'RA2-Elevated Dumps Slopes'!$A$11:$BN$18,MATCH(Summary!P$1,'RA2-Elevated Dumps Slopes'!$A$9:$BN$9,1),FALSE),0)+IFERROR(VLOOKUP($B15,'RA3-Backfilled Pits'!$A$11:$BN$18,MATCH(Summary!P$1,'RA3-Backfilled Pits'!$A$9:$BN$9,1),FALSE),0)+IFERROR(VLOOKUP($B15,'RA4-Tracks_Roads'!$A$11:$BN$18,MATCH(Summary!P$1,'RA4-Tracks_Roads'!$A$9:$BN$9,1),FALSE),0)+IFERROR(VLOOKUP($B15,'RA5-ROM'!$A$11:$BN$18,MATCH(Summary!P$1,'RA5-ROM'!$A$9:$BN$9,1),FALSE),0)+IFERROR(VLOOKUP($B15,'RA6-CHPP'!$A$11:$BN$18,MATCH(Summary!P$1,'RA6-CHPP'!$A$9:$BN$9,1),FALSE),0)+IFERROR(VLOOKUP($B15,'RA7-Mine Infrastructure Area'!$A$11:$BN$18,MATCH(Summary!P$1,'RA7-Mine Infrastructure Area'!$A$9:$BN$9,1),FALSE),0)+IFERROR(VLOOKUP($B15,'RA8-Water Management Structures'!$A$11:$BN$18,MATCH(Summary!P$1,'RA8-Water Management Structures'!$A$9:$BN$9,1),FALSE),0)+IFERROR(VLOOKUP($B15,'RA9-Codisposal Upper'!$A$11:$BN$18,MATCH(Summary!P$1,'RA9-Codisposal Upper'!$A$9:$BN$9,1),FALSE),0)+IFERROR(VLOOKUP($B15,'RA10-Codisposal Slopes'!$A$11:$BN$18,MATCH(Summary!P$1,'RA10-Codisposal Slopes'!$A$9:$BN$9,1),FALSE),0)+IFERROR(VLOOKUP($B15,'IA1-Final Void inc Ramps'!$A$11:$BN$18,MATCH(Summary!P$1,'IA1-Final Void inc Ramps'!$A$9:$BN$9,1),FALSE),0)</f>
        <v>0</v>
      </c>
      <c r="Q15" s="51">
        <f>IFERROR(VLOOKUP($B15,'RA1- Elevated Dumps Upper'!$A$11:$BN$18,MATCH(Summary!Q$1,'RA1- Elevated Dumps Upper'!$A$9:$BN$9,1),FALSE),0)+IFERROR(VLOOKUP($B15,'RA2-Elevated Dumps Slopes'!$A$11:$BN$18,MATCH(Summary!Q$1,'RA2-Elevated Dumps Slopes'!$A$9:$BN$9,1),FALSE),0)+IFERROR(VLOOKUP($B15,'RA3-Backfilled Pits'!$A$11:$BN$18,MATCH(Summary!Q$1,'RA3-Backfilled Pits'!$A$9:$BN$9,1),FALSE),0)+IFERROR(VLOOKUP($B15,'RA4-Tracks_Roads'!$A$11:$BN$18,MATCH(Summary!Q$1,'RA4-Tracks_Roads'!$A$9:$BN$9,1),FALSE),0)+IFERROR(VLOOKUP($B15,'RA5-ROM'!$A$11:$BN$18,MATCH(Summary!Q$1,'RA5-ROM'!$A$9:$BN$9,1),FALSE),0)+IFERROR(VLOOKUP($B15,'RA6-CHPP'!$A$11:$BN$18,MATCH(Summary!Q$1,'RA6-CHPP'!$A$9:$BN$9,1),FALSE),0)+IFERROR(VLOOKUP($B15,'RA7-Mine Infrastructure Area'!$A$11:$BN$18,MATCH(Summary!Q$1,'RA7-Mine Infrastructure Area'!$A$9:$BN$9,1),FALSE),0)+IFERROR(VLOOKUP($B15,'RA8-Water Management Structures'!$A$11:$BN$18,MATCH(Summary!Q$1,'RA8-Water Management Structures'!$A$9:$BN$9,1),FALSE),0)+IFERROR(VLOOKUP($B15,'RA9-Codisposal Upper'!$A$11:$BN$18,MATCH(Summary!Q$1,'RA9-Codisposal Upper'!$A$9:$BN$9,1),FALSE),0)+IFERROR(VLOOKUP($B15,'RA10-Codisposal Slopes'!$A$11:$BN$18,MATCH(Summary!Q$1,'RA10-Codisposal Slopes'!$A$9:$BN$9,1),FALSE),0)+IFERROR(VLOOKUP($B15,'IA1-Final Void inc Ramps'!$A$11:$BN$18,MATCH(Summary!Q$1,'IA1-Final Void inc Ramps'!$A$9:$BN$9,1),FALSE),0)</f>
        <v>0</v>
      </c>
      <c r="R15" s="51">
        <f>IFERROR(VLOOKUP($B15,'RA1- Elevated Dumps Upper'!$A$11:$BN$18,MATCH(Summary!R$1,'RA1- Elevated Dumps Upper'!$A$9:$BN$9,1),FALSE),0)+IFERROR(VLOOKUP($B15,'RA2-Elevated Dumps Slopes'!$A$11:$BN$18,MATCH(Summary!R$1,'RA2-Elevated Dumps Slopes'!$A$9:$BN$9,1),FALSE),0)+IFERROR(VLOOKUP($B15,'RA3-Backfilled Pits'!$A$11:$BN$18,MATCH(Summary!R$1,'RA3-Backfilled Pits'!$A$9:$BN$9,1),FALSE),0)+IFERROR(VLOOKUP($B15,'RA4-Tracks_Roads'!$A$11:$BN$18,MATCH(Summary!R$1,'RA4-Tracks_Roads'!$A$9:$BN$9,1),FALSE),0)+IFERROR(VLOOKUP($B15,'RA5-ROM'!$A$11:$BN$18,MATCH(Summary!R$1,'RA5-ROM'!$A$9:$BN$9,1),FALSE),0)+IFERROR(VLOOKUP($B15,'RA6-CHPP'!$A$11:$BN$18,MATCH(Summary!R$1,'RA6-CHPP'!$A$9:$BN$9,1),FALSE),0)+IFERROR(VLOOKUP($B15,'RA7-Mine Infrastructure Area'!$A$11:$BN$18,MATCH(Summary!R$1,'RA7-Mine Infrastructure Area'!$A$9:$BN$9,1),FALSE),0)+IFERROR(VLOOKUP($B15,'RA8-Water Management Structures'!$A$11:$BN$18,MATCH(Summary!R$1,'RA8-Water Management Structures'!$A$9:$BN$9,1),FALSE),0)+IFERROR(VLOOKUP($B15,'RA9-Codisposal Upper'!$A$11:$BN$18,MATCH(Summary!R$1,'RA9-Codisposal Upper'!$A$9:$BN$9,1),FALSE),0)+IFERROR(VLOOKUP($B15,'RA10-Codisposal Slopes'!$A$11:$BN$18,MATCH(Summary!R$1,'RA10-Codisposal Slopes'!$A$9:$BN$9,1),FALSE),0)+IFERROR(VLOOKUP($B15,'IA1-Final Void inc Ramps'!$A$11:$BN$18,MATCH(Summary!R$1,'IA1-Final Void inc Ramps'!$A$9:$BN$9,1),FALSE),0)</f>
        <v>0</v>
      </c>
      <c r="S15" s="51">
        <f>IFERROR(VLOOKUP($B15,'RA1- Elevated Dumps Upper'!$A$11:$BN$18,MATCH(Summary!S$1,'RA1- Elevated Dumps Upper'!$A$9:$BN$9,1),FALSE),0)+IFERROR(VLOOKUP($B15,'RA2-Elevated Dumps Slopes'!$A$11:$BN$18,MATCH(Summary!S$1,'RA2-Elevated Dumps Slopes'!$A$9:$BN$9,1),FALSE),0)+IFERROR(VLOOKUP($B15,'RA3-Backfilled Pits'!$A$11:$BN$18,MATCH(Summary!S$1,'RA3-Backfilled Pits'!$A$9:$BN$9,1),FALSE),0)+IFERROR(VLOOKUP($B15,'RA4-Tracks_Roads'!$A$11:$BN$18,MATCH(Summary!S$1,'RA4-Tracks_Roads'!$A$9:$BN$9,1),FALSE),0)+IFERROR(VLOOKUP($B15,'RA5-ROM'!$A$11:$BN$18,MATCH(Summary!S$1,'RA5-ROM'!$A$9:$BN$9,1),FALSE),0)+IFERROR(VLOOKUP($B15,'RA6-CHPP'!$A$11:$BN$18,MATCH(Summary!S$1,'RA6-CHPP'!$A$9:$BN$9,1),FALSE),0)+IFERROR(VLOOKUP($B15,'RA7-Mine Infrastructure Area'!$A$11:$BN$18,MATCH(Summary!S$1,'RA7-Mine Infrastructure Area'!$A$9:$BN$9,1),FALSE),0)+IFERROR(VLOOKUP($B15,'RA8-Water Management Structures'!$A$11:$BN$18,MATCH(Summary!S$1,'RA8-Water Management Structures'!$A$9:$BN$9,1),FALSE),0)+IFERROR(VLOOKUP($B15,'RA9-Codisposal Upper'!$A$11:$BN$18,MATCH(Summary!S$1,'RA9-Codisposal Upper'!$A$9:$BN$9,1),FALSE),0)+IFERROR(VLOOKUP($B15,'RA10-Codisposal Slopes'!$A$11:$BN$18,MATCH(Summary!S$1,'RA10-Codisposal Slopes'!$A$9:$BN$9,1),FALSE),0)+IFERROR(VLOOKUP($B15,'IA1-Final Void inc Ramps'!$A$11:$BN$18,MATCH(Summary!S$1,'IA1-Final Void inc Ramps'!$A$9:$BN$9,1),FALSE),0)</f>
        <v>0</v>
      </c>
      <c r="T15" s="51">
        <f>IFERROR(VLOOKUP($B15,'RA1- Elevated Dumps Upper'!$A$11:$BN$18,MATCH(Summary!T$1,'RA1- Elevated Dumps Upper'!$A$9:$BN$9,1),FALSE),0)+IFERROR(VLOOKUP($B15,'RA2-Elevated Dumps Slopes'!$A$11:$BN$18,MATCH(Summary!T$1,'RA2-Elevated Dumps Slopes'!$A$9:$BN$9,1),FALSE),0)+IFERROR(VLOOKUP($B15,'RA3-Backfilled Pits'!$A$11:$BN$18,MATCH(Summary!T$1,'RA3-Backfilled Pits'!$A$9:$BN$9,1),FALSE),0)+IFERROR(VLOOKUP($B15,'RA4-Tracks_Roads'!$A$11:$BN$18,MATCH(Summary!T$1,'RA4-Tracks_Roads'!$A$9:$BN$9,1),FALSE),0)+IFERROR(VLOOKUP($B15,'RA5-ROM'!$A$11:$BN$18,MATCH(Summary!T$1,'RA5-ROM'!$A$9:$BN$9,1),FALSE),0)+IFERROR(VLOOKUP($B15,'RA6-CHPP'!$A$11:$BN$18,MATCH(Summary!T$1,'RA6-CHPP'!$A$9:$BN$9,1),FALSE),0)+IFERROR(VLOOKUP($B15,'RA7-Mine Infrastructure Area'!$A$11:$BN$18,MATCH(Summary!T$1,'RA7-Mine Infrastructure Area'!$A$9:$BN$9,1),FALSE),0)+IFERROR(VLOOKUP($B15,'RA8-Water Management Structures'!$A$11:$BN$18,MATCH(Summary!T$1,'RA8-Water Management Structures'!$A$9:$BN$9,1),FALSE),0)+IFERROR(VLOOKUP($B15,'RA9-Codisposal Upper'!$A$11:$BN$18,MATCH(Summary!T$1,'RA9-Codisposal Upper'!$A$9:$BN$9,1),FALSE),0)+IFERROR(VLOOKUP($B15,'RA10-Codisposal Slopes'!$A$11:$BN$18,MATCH(Summary!T$1,'RA10-Codisposal Slopes'!$A$9:$BN$9,1),FALSE),0)+IFERROR(VLOOKUP($B15,'IA1-Final Void inc Ramps'!$A$11:$BN$18,MATCH(Summary!T$1,'IA1-Final Void inc Ramps'!$A$9:$BN$9,1),FALSE),0)</f>
        <v>0</v>
      </c>
      <c r="U15" s="51">
        <f>IFERROR(VLOOKUP($B15,'RA1- Elevated Dumps Upper'!$A$11:$BN$18,MATCH(Summary!U$1,'RA1- Elevated Dumps Upper'!$A$9:$BN$9,1),FALSE),0)+IFERROR(VLOOKUP($B15,'RA2-Elevated Dumps Slopes'!$A$11:$BN$18,MATCH(Summary!U$1,'RA2-Elevated Dumps Slopes'!$A$9:$BN$9,1),FALSE),0)+IFERROR(VLOOKUP($B15,'RA3-Backfilled Pits'!$A$11:$BN$18,MATCH(Summary!U$1,'RA3-Backfilled Pits'!$A$9:$BN$9,1),FALSE),0)+IFERROR(VLOOKUP($B15,'RA4-Tracks_Roads'!$A$11:$BN$18,MATCH(Summary!U$1,'RA4-Tracks_Roads'!$A$9:$BN$9,1),FALSE),0)+IFERROR(VLOOKUP($B15,'RA5-ROM'!$A$11:$BN$18,MATCH(Summary!U$1,'RA5-ROM'!$A$9:$BN$9,1),FALSE),0)+IFERROR(VLOOKUP($B15,'RA6-CHPP'!$A$11:$BN$18,MATCH(Summary!U$1,'RA6-CHPP'!$A$9:$BN$9,1),FALSE),0)+IFERROR(VLOOKUP($B15,'RA7-Mine Infrastructure Area'!$A$11:$BN$18,MATCH(Summary!U$1,'RA7-Mine Infrastructure Area'!$A$9:$BN$9,1),FALSE),0)+IFERROR(VLOOKUP($B15,'RA8-Water Management Structures'!$A$11:$BN$18,MATCH(Summary!U$1,'RA8-Water Management Structures'!$A$9:$BN$9,1),FALSE),0)+IFERROR(VLOOKUP($B15,'RA9-Codisposal Upper'!$A$11:$BN$18,MATCH(Summary!U$1,'RA9-Codisposal Upper'!$A$9:$BN$9,1),FALSE),0)+IFERROR(VLOOKUP($B15,'RA10-Codisposal Slopes'!$A$11:$BN$18,MATCH(Summary!U$1,'RA10-Codisposal Slopes'!$A$9:$BN$9,1),FALSE),0)+IFERROR(VLOOKUP($B15,'IA1-Final Void inc Ramps'!$A$11:$BN$18,MATCH(Summary!U$1,'IA1-Final Void inc Ramps'!$A$9:$BN$9,1),FALSE),0)</f>
        <v>0</v>
      </c>
      <c r="V15" s="51">
        <f>IFERROR(VLOOKUP($B15,'RA1- Elevated Dumps Upper'!$A$11:$BN$18,MATCH(Summary!V$1,'RA1- Elevated Dumps Upper'!$A$9:$BN$9,1),FALSE),0)+IFERROR(VLOOKUP($B15,'RA2-Elevated Dumps Slopes'!$A$11:$BN$18,MATCH(Summary!V$1,'RA2-Elevated Dumps Slopes'!$A$9:$BN$9,1),FALSE),0)+IFERROR(VLOOKUP($B15,'RA3-Backfilled Pits'!$A$11:$BN$18,MATCH(Summary!V$1,'RA3-Backfilled Pits'!$A$9:$BN$9,1),FALSE),0)+IFERROR(VLOOKUP($B15,'RA4-Tracks_Roads'!$A$11:$BN$18,MATCH(Summary!V$1,'RA4-Tracks_Roads'!$A$9:$BN$9,1),FALSE),0)+IFERROR(VLOOKUP($B15,'RA5-ROM'!$A$11:$BN$18,MATCH(Summary!V$1,'RA5-ROM'!$A$9:$BN$9,1),FALSE),0)+IFERROR(VLOOKUP($B15,'RA6-CHPP'!$A$11:$BN$18,MATCH(Summary!V$1,'RA6-CHPP'!$A$9:$BN$9,1),FALSE),0)+IFERROR(VLOOKUP($B15,'RA7-Mine Infrastructure Area'!$A$11:$BN$18,MATCH(Summary!V$1,'RA7-Mine Infrastructure Area'!$A$9:$BN$9,1),FALSE),0)+IFERROR(VLOOKUP($B15,'RA8-Water Management Structures'!$A$11:$BN$18,MATCH(Summary!V$1,'RA8-Water Management Structures'!$A$9:$BN$9,1),FALSE),0)+IFERROR(VLOOKUP($B15,'RA9-Codisposal Upper'!$A$11:$BN$18,MATCH(Summary!V$1,'RA9-Codisposal Upper'!$A$9:$BN$9,1),FALSE),0)+IFERROR(VLOOKUP($B15,'RA10-Codisposal Slopes'!$A$11:$BN$18,MATCH(Summary!V$1,'RA10-Codisposal Slopes'!$A$9:$BN$9,1),FALSE),0)+IFERROR(VLOOKUP($B15,'IA1-Final Void inc Ramps'!$A$11:$BN$18,MATCH(Summary!V$1,'IA1-Final Void inc Ramps'!$A$9:$BN$9,1),FALSE),0)</f>
        <v>0</v>
      </c>
      <c r="W15" s="51">
        <f>IFERROR(VLOOKUP($B15,'RA1- Elevated Dumps Upper'!$A$11:$BN$18,MATCH(Summary!W$1,'RA1- Elevated Dumps Upper'!$A$9:$BN$9,1),FALSE),0)+IFERROR(VLOOKUP($B15,'RA2-Elevated Dumps Slopes'!$A$11:$BN$18,MATCH(Summary!W$1,'RA2-Elevated Dumps Slopes'!$A$9:$BN$9,1),FALSE),0)+IFERROR(VLOOKUP($B15,'RA3-Backfilled Pits'!$A$11:$BN$18,MATCH(Summary!W$1,'RA3-Backfilled Pits'!$A$9:$BN$9,1),FALSE),0)+IFERROR(VLOOKUP($B15,'RA4-Tracks_Roads'!$A$11:$BN$18,MATCH(Summary!W$1,'RA4-Tracks_Roads'!$A$9:$BN$9,1),FALSE),0)+IFERROR(VLOOKUP($B15,'RA5-ROM'!$A$11:$BN$18,MATCH(Summary!W$1,'RA5-ROM'!$A$9:$BN$9,1),FALSE),0)+IFERROR(VLOOKUP($B15,'RA6-CHPP'!$A$11:$BN$18,MATCH(Summary!W$1,'RA6-CHPP'!$A$9:$BN$9,1),FALSE),0)+IFERROR(VLOOKUP($B15,'RA7-Mine Infrastructure Area'!$A$11:$BN$18,MATCH(Summary!W$1,'RA7-Mine Infrastructure Area'!$A$9:$BN$9,1),FALSE),0)+IFERROR(VLOOKUP($B15,'RA8-Water Management Structures'!$A$11:$BN$18,MATCH(Summary!W$1,'RA8-Water Management Structures'!$A$9:$BN$9,1),FALSE),0)+IFERROR(VLOOKUP($B15,'RA9-Codisposal Upper'!$A$11:$BN$18,MATCH(Summary!W$1,'RA9-Codisposal Upper'!$A$9:$BN$9,1),FALSE),0)+IFERROR(VLOOKUP($B15,'RA10-Codisposal Slopes'!$A$11:$BN$18,MATCH(Summary!W$1,'RA10-Codisposal Slopes'!$A$9:$BN$9,1),FALSE),0)+IFERROR(VLOOKUP($B15,'IA1-Final Void inc Ramps'!$A$11:$BN$18,MATCH(Summary!W$1,'IA1-Final Void inc Ramps'!$A$9:$BN$9,1),FALSE),0)</f>
        <v>0</v>
      </c>
      <c r="X15" s="51">
        <f>IFERROR(VLOOKUP($B15,'RA1- Elevated Dumps Upper'!$A$11:$BN$18,MATCH(Summary!X$1,'RA1- Elevated Dumps Upper'!$A$9:$BN$9,1),FALSE),0)+IFERROR(VLOOKUP($B15,'RA2-Elevated Dumps Slopes'!$A$11:$BN$18,MATCH(Summary!X$1,'RA2-Elevated Dumps Slopes'!$A$9:$BN$9,1),FALSE),0)+IFERROR(VLOOKUP($B15,'RA3-Backfilled Pits'!$A$11:$BN$18,MATCH(Summary!X$1,'RA3-Backfilled Pits'!$A$9:$BN$9,1),FALSE),0)+IFERROR(VLOOKUP($B15,'RA4-Tracks_Roads'!$A$11:$BN$18,MATCH(Summary!X$1,'RA4-Tracks_Roads'!$A$9:$BN$9,1),FALSE),0)+IFERROR(VLOOKUP($B15,'RA5-ROM'!$A$11:$BN$18,MATCH(Summary!X$1,'RA5-ROM'!$A$9:$BN$9,1),FALSE),0)+IFERROR(VLOOKUP($B15,'RA6-CHPP'!$A$11:$BN$18,MATCH(Summary!X$1,'RA6-CHPP'!$A$9:$BN$9,1),FALSE),0)+IFERROR(VLOOKUP($B15,'RA7-Mine Infrastructure Area'!$A$11:$BN$18,MATCH(Summary!X$1,'RA7-Mine Infrastructure Area'!$A$9:$BN$9,1),FALSE),0)+IFERROR(VLOOKUP($B15,'RA8-Water Management Structures'!$A$11:$BN$18,MATCH(Summary!X$1,'RA8-Water Management Structures'!$A$9:$BN$9,1),FALSE),0)+IFERROR(VLOOKUP($B15,'RA9-Codisposal Upper'!$A$11:$BN$18,MATCH(Summary!X$1,'RA9-Codisposal Upper'!$A$9:$BN$9,1),FALSE),0)+IFERROR(VLOOKUP($B15,'RA10-Codisposal Slopes'!$A$11:$BN$18,MATCH(Summary!X$1,'RA10-Codisposal Slopes'!$A$9:$BN$9,1),FALSE),0)+IFERROR(VLOOKUP($B15,'IA1-Final Void inc Ramps'!$A$11:$BN$18,MATCH(Summary!X$1,'IA1-Final Void inc Ramps'!$A$9:$BN$9,1),FALSE),0)</f>
        <v>0</v>
      </c>
      <c r="Y15" s="51">
        <f>IFERROR(VLOOKUP($B15,'RA1- Elevated Dumps Upper'!$A$11:$BN$18,MATCH(Summary!Y$1,'RA1- Elevated Dumps Upper'!$A$9:$BN$9,1),FALSE),0)+IFERROR(VLOOKUP($B15,'RA2-Elevated Dumps Slopes'!$A$11:$BN$18,MATCH(Summary!Y$1,'RA2-Elevated Dumps Slopes'!$A$9:$BN$9,1),FALSE),0)+IFERROR(VLOOKUP($B15,'RA3-Backfilled Pits'!$A$11:$BN$18,MATCH(Summary!Y$1,'RA3-Backfilled Pits'!$A$9:$BN$9,1),FALSE),0)+IFERROR(VLOOKUP($B15,'RA4-Tracks_Roads'!$A$11:$BN$18,MATCH(Summary!Y$1,'RA4-Tracks_Roads'!$A$9:$BN$9,1),FALSE),0)+IFERROR(VLOOKUP($B15,'RA5-ROM'!$A$11:$BN$18,MATCH(Summary!Y$1,'RA5-ROM'!$A$9:$BN$9,1),FALSE),0)+IFERROR(VLOOKUP($B15,'RA6-CHPP'!$A$11:$BN$18,MATCH(Summary!Y$1,'RA6-CHPP'!$A$9:$BN$9,1),FALSE),0)+IFERROR(VLOOKUP($B15,'RA7-Mine Infrastructure Area'!$A$11:$BN$18,MATCH(Summary!Y$1,'RA7-Mine Infrastructure Area'!$A$9:$BN$9,1),FALSE),0)+IFERROR(VLOOKUP($B15,'RA8-Water Management Structures'!$A$11:$BN$18,MATCH(Summary!Y$1,'RA8-Water Management Structures'!$A$9:$BN$9,1),FALSE),0)+IFERROR(VLOOKUP($B15,'RA9-Codisposal Upper'!$A$11:$BN$18,MATCH(Summary!Y$1,'RA9-Codisposal Upper'!$A$9:$BN$9,1),FALSE),0)+IFERROR(VLOOKUP($B15,'RA10-Codisposal Slopes'!$A$11:$BN$18,MATCH(Summary!Y$1,'RA10-Codisposal Slopes'!$A$9:$BN$9,1),FALSE),0)+IFERROR(VLOOKUP($B15,'IA1-Final Void inc Ramps'!$A$11:$BN$18,MATCH(Summary!Y$1,'IA1-Final Void inc Ramps'!$A$9:$BN$9,1),FALSE),0)</f>
        <v>0</v>
      </c>
      <c r="Z15" s="51">
        <f>IFERROR(VLOOKUP($B15,'RA1- Elevated Dumps Upper'!$A$11:$BN$18,MATCH(Summary!Z$1,'RA1- Elevated Dumps Upper'!$A$9:$BN$9,1),FALSE),0)+IFERROR(VLOOKUP($B15,'RA2-Elevated Dumps Slopes'!$A$11:$BN$18,MATCH(Summary!Z$1,'RA2-Elevated Dumps Slopes'!$A$9:$BN$9,1),FALSE),0)+IFERROR(VLOOKUP($B15,'RA3-Backfilled Pits'!$A$11:$BN$18,MATCH(Summary!Z$1,'RA3-Backfilled Pits'!$A$9:$BN$9,1),FALSE),0)+IFERROR(VLOOKUP($B15,'RA4-Tracks_Roads'!$A$11:$BN$18,MATCH(Summary!Z$1,'RA4-Tracks_Roads'!$A$9:$BN$9,1),FALSE),0)+IFERROR(VLOOKUP($B15,'RA5-ROM'!$A$11:$BN$18,MATCH(Summary!Z$1,'RA5-ROM'!$A$9:$BN$9,1),FALSE),0)+IFERROR(VLOOKUP($B15,'RA6-CHPP'!$A$11:$BN$18,MATCH(Summary!Z$1,'RA6-CHPP'!$A$9:$BN$9,1),FALSE),0)+IFERROR(VLOOKUP($B15,'RA7-Mine Infrastructure Area'!$A$11:$BN$18,MATCH(Summary!Z$1,'RA7-Mine Infrastructure Area'!$A$9:$BN$9,1),FALSE),0)+IFERROR(VLOOKUP($B15,'RA8-Water Management Structures'!$A$11:$BN$18,MATCH(Summary!Z$1,'RA8-Water Management Structures'!$A$9:$BN$9,1),FALSE),0)+IFERROR(VLOOKUP($B15,'RA9-Codisposal Upper'!$A$11:$BN$18,MATCH(Summary!Z$1,'RA9-Codisposal Upper'!$A$9:$BN$9,1),FALSE),0)+IFERROR(VLOOKUP($B15,'RA10-Codisposal Slopes'!$A$11:$BN$18,MATCH(Summary!Z$1,'RA10-Codisposal Slopes'!$A$9:$BN$9,1),FALSE),0)+IFERROR(VLOOKUP($B15,'IA1-Final Void inc Ramps'!$A$11:$BN$18,MATCH(Summary!Z$1,'IA1-Final Void inc Ramps'!$A$9:$BN$9,1),FALSE),0)</f>
        <v>0</v>
      </c>
      <c r="AA15" s="51">
        <f>IFERROR(VLOOKUP($B15,'RA1- Elevated Dumps Upper'!$A$11:$BN$18,MATCH(Summary!AA$1,'RA1- Elevated Dumps Upper'!$A$9:$BN$9,1),FALSE),0)+IFERROR(VLOOKUP($B15,'RA2-Elevated Dumps Slopes'!$A$11:$BN$18,MATCH(Summary!AA$1,'RA2-Elevated Dumps Slopes'!$A$9:$BN$9,1),FALSE),0)+IFERROR(VLOOKUP($B15,'RA3-Backfilled Pits'!$A$11:$BN$18,MATCH(Summary!AA$1,'RA3-Backfilled Pits'!$A$9:$BN$9,1),FALSE),0)+IFERROR(VLOOKUP($B15,'RA4-Tracks_Roads'!$A$11:$BN$18,MATCH(Summary!AA$1,'RA4-Tracks_Roads'!$A$9:$BN$9,1),FALSE),0)+IFERROR(VLOOKUP($B15,'RA5-ROM'!$A$11:$BN$18,MATCH(Summary!AA$1,'RA5-ROM'!$A$9:$BN$9,1),FALSE),0)+IFERROR(VLOOKUP($B15,'RA6-CHPP'!$A$11:$BN$18,MATCH(Summary!AA$1,'RA6-CHPP'!$A$9:$BN$9,1),FALSE),0)+IFERROR(VLOOKUP($B15,'RA7-Mine Infrastructure Area'!$A$11:$BN$18,MATCH(Summary!AA$1,'RA7-Mine Infrastructure Area'!$A$9:$BN$9,1),FALSE),0)+IFERROR(VLOOKUP($B15,'RA8-Water Management Structures'!$A$11:$BN$18,MATCH(Summary!AA$1,'RA8-Water Management Structures'!$A$9:$BN$9,1),FALSE),0)+IFERROR(VLOOKUP($B15,'RA9-Codisposal Upper'!$A$11:$BN$18,MATCH(Summary!AA$1,'RA9-Codisposal Upper'!$A$9:$BN$9,1),FALSE),0)+IFERROR(VLOOKUP($B15,'RA10-Codisposal Slopes'!$A$11:$BN$18,MATCH(Summary!AA$1,'RA10-Codisposal Slopes'!$A$9:$BN$9,1),FALSE),0)+IFERROR(VLOOKUP($B15,'IA1-Final Void inc Ramps'!$A$11:$BN$18,MATCH(Summary!AA$1,'IA1-Final Void inc Ramps'!$A$9:$BN$9,1),FALSE),0)</f>
        <v>0</v>
      </c>
      <c r="AB15" s="51">
        <f>IFERROR(VLOOKUP($B15,'RA1- Elevated Dumps Upper'!$A$11:$BN$18,MATCH(Summary!AB$1,'RA1- Elevated Dumps Upper'!$A$9:$BN$9,1),FALSE),0)+IFERROR(VLOOKUP($B15,'RA2-Elevated Dumps Slopes'!$A$11:$BN$18,MATCH(Summary!AB$1,'RA2-Elevated Dumps Slopes'!$A$9:$BN$9,1),FALSE),0)+IFERROR(VLOOKUP($B15,'RA3-Backfilled Pits'!$A$11:$BN$18,MATCH(Summary!AB$1,'RA3-Backfilled Pits'!$A$9:$BN$9,1),FALSE),0)+IFERROR(VLOOKUP($B15,'RA4-Tracks_Roads'!$A$11:$BN$18,MATCH(Summary!AB$1,'RA4-Tracks_Roads'!$A$9:$BN$9,1),FALSE),0)+IFERROR(VLOOKUP($B15,'RA5-ROM'!$A$11:$BN$18,MATCH(Summary!AB$1,'RA5-ROM'!$A$9:$BN$9,1),FALSE),0)+IFERROR(VLOOKUP($B15,'RA6-CHPP'!$A$11:$BN$18,MATCH(Summary!AB$1,'RA6-CHPP'!$A$9:$BN$9,1),FALSE),0)+IFERROR(VLOOKUP($B15,'RA7-Mine Infrastructure Area'!$A$11:$BN$18,MATCH(Summary!AB$1,'RA7-Mine Infrastructure Area'!$A$9:$BN$9,1),FALSE),0)+IFERROR(VLOOKUP($B15,'RA8-Water Management Structures'!$A$11:$BN$18,MATCH(Summary!AB$1,'RA8-Water Management Structures'!$A$9:$BN$9,1),FALSE),0)+IFERROR(VLOOKUP($B15,'RA9-Codisposal Upper'!$A$11:$BN$18,MATCH(Summary!AB$1,'RA9-Codisposal Upper'!$A$9:$BN$9,1),FALSE),0)+IFERROR(VLOOKUP($B15,'RA10-Codisposal Slopes'!$A$11:$BN$18,MATCH(Summary!AB$1,'RA10-Codisposal Slopes'!$A$9:$BN$9,1),FALSE),0)+IFERROR(VLOOKUP($B15,'IA1-Final Void inc Ramps'!$A$11:$BN$18,MATCH(Summary!AB$1,'IA1-Final Void inc Ramps'!$A$9:$BN$9,1),FALSE),0)</f>
        <v>0</v>
      </c>
      <c r="AC15" s="51">
        <f>IFERROR(VLOOKUP($B15,'RA1- Elevated Dumps Upper'!$A$11:$BN$18,MATCH(Summary!AC$1,'RA1- Elevated Dumps Upper'!$A$9:$BN$9,1),FALSE),0)+IFERROR(VLOOKUP($B15,'RA2-Elevated Dumps Slopes'!$A$11:$BN$18,MATCH(Summary!AC$1,'RA2-Elevated Dumps Slopes'!$A$9:$BN$9,1),FALSE),0)+IFERROR(VLOOKUP($B15,'RA3-Backfilled Pits'!$A$11:$BN$18,MATCH(Summary!AC$1,'RA3-Backfilled Pits'!$A$9:$BN$9,1),FALSE),0)+IFERROR(VLOOKUP($B15,'RA4-Tracks_Roads'!$A$11:$BN$18,MATCH(Summary!AC$1,'RA4-Tracks_Roads'!$A$9:$BN$9,1),FALSE),0)+IFERROR(VLOOKUP($B15,'RA5-ROM'!$A$11:$BN$18,MATCH(Summary!AC$1,'RA5-ROM'!$A$9:$BN$9,1),FALSE),0)+IFERROR(VLOOKUP($B15,'RA6-CHPP'!$A$11:$BN$18,MATCH(Summary!AC$1,'RA6-CHPP'!$A$9:$BN$9,1),FALSE),0)+IFERROR(VLOOKUP($B15,'RA7-Mine Infrastructure Area'!$A$11:$BN$18,MATCH(Summary!AC$1,'RA7-Mine Infrastructure Area'!$A$9:$BN$9,1),FALSE),0)+IFERROR(VLOOKUP($B15,'RA8-Water Management Structures'!$A$11:$BN$18,MATCH(Summary!AC$1,'RA8-Water Management Structures'!$A$9:$BN$9,1),FALSE),0)+IFERROR(VLOOKUP($B15,'RA9-Codisposal Upper'!$A$11:$BN$18,MATCH(Summary!AC$1,'RA9-Codisposal Upper'!$A$9:$BN$9,1),FALSE),0)+IFERROR(VLOOKUP($B15,'RA10-Codisposal Slopes'!$A$11:$BN$18,MATCH(Summary!AC$1,'RA10-Codisposal Slopes'!$A$9:$BN$9,1),FALSE),0)+IFERROR(VLOOKUP($B15,'IA1-Final Void inc Ramps'!$A$11:$BN$18,MATCH(Summary!AC$1,'IA1-Final Void inc Ramps'!$A$9:$BN$9,1),FALSE),0)</f>
        <v>0</v>
      </c>
      <c r="AD15" s="51">
        <f>IFERROR(VLOOKUP($B15,'RA1- Elevated Dumps Upper'!$A$11:$BN$18,MATCH(Summary!AD$1,'RA1- Elevated Dumps Upper'!$A$9:$BN$9,1),FALSE),0)+IFERROR(VLOOKUP($B15,'RA2-Elevated Dumps Slopes'!$A$11:$BN$18,MATCH(Summary!AD$1,'RA2-Elevated Dumps Slopes'!$A$9:$BN$9,1),FALSE),0)+IFERROR(VLOOKUP($B15,'RA3-Backfilled Pits'!$A$11:$BN$18,MATCH(Summary!AD$1,'RA3-Backfilled Pits'!$A$9:$BN$9,1),FALSE),0)+IFERROR(VLOOKUP($B15,'RA4-Tracks_Roads'!$A$11:$BN$18,MATCH(Summary!AD$1,'RA4-Tracks_Roads'!$A$9:$BN$9,1),FALSE),0)+IFERROR(VLOOKUP($B15,'RA5-ROM'!$A$11:$BN$18,MATCH(Summary!AD$1,'RA5-ROM'!$A$9:$BN$9,1),FALSE),0)+IFERROR(VLOOKUP($B15,'RA6-CHPP'!$A$11:$BN$18,MATCH(Summary!AD$1,'RA6-CHPP'!$A$9:$BN$9,1),FALSE),0)+IFERROR(VLOOKUP($B15,'RA7-Mine Infrastructure Area'!$A$11:$BN$18,MATCH(Summary!AD$1,'RA7-Mine Infrastructure Area'!$A$9:$BN$9,1),FALSE),0)+IFERROR(VLOOKUP($B15,'RA8-Water Management Structures'!$A$11:$BN$18,MATCH(Summary!AD$1,'RA8-Water Management Structures'!$A$9:$BN$9,1),FALSE),0)+IFERROR(VLOOKUP($B15,'RA9-Codisposal Upper'!$A$11:$BN$18,MATCH(Summary!AD$1,'RA9-Codisposal Upper'!$A$9:$BN$9,1),FALSE),0)+IFERROR(VLOOKUP($B15,'RA10-Codisposal Slopes'!$A$11:$BN$18,MATCH(Summary!AD$1,'RA10-Codisposal Slopes'!$A$9:$BN$9,1),FALSE),0)+IFERROR(VLOOKUP($B15,'IA1-Final Void inc Ramps'!$A$11:$BN$18,MATCH(Summary!AD$1,'IA1-Final Void inc Ramps'!$A$9:$BN$9,1),FALSE),0)</f>
        <v>0</v>
      </c>
      <c r="AE15" s="51">
        <f>IFERROR(VLOOKUP($B15,'RA1- Elevated Dumps Upper'!$A$11:$BN$18,MATCH(Summary!AE$1,'RA1- Elevated Dumps Upper'!$A$9:$BN$9,1),FALSE),0)+IFERROR(VLOOKUP($B15,'RA2-Elevated Dumps Slopes'!$A$11:$BN$18,MATCH(Summary!AE$1,'RA2-Elevated Dumps Slopes'!$A$9:$BN$9,1),FALSE),0)+IFERROR(VLOOKUP($B15,'RA3-Backfilled Pits'!$A$11:$BN$18,MATCH(Summary!AE$1,'RA3-Backfilled Pits'!$A$9:$BN$9,1),FALSE),0)+IFERROR(VLOOKUP($B15,'RA4-Tracks_Roads'!$A$11:$BN$18,MATCH(Summary!AE$1,'RA4-Tracks_Roads'!$A$9:$BN$9,1),FALSE),0)+IFERROR(VLOOKUP($B15,'RA5-ROM'!$A$11:$BN$18,MATCH(Summary!AE$1,'RA5-ROM'!$A$9:$BN$9,1),FALSE),0)+IFERROR(VLOOKUP($B15,'RA6-CHPP'!$A$11:$BN$18,MATCH(Summary!AE$1,'RA6-CHPP'!$A$9:$BN$9,1),FALSE),0)+IFERROR(VLOOKUP($B15,'RA7-Mine Infrastructure Area'!$A$11:$BN$18,MATCH(Summary!AE$1,'RA7-Mine Infrastructure Area'!$A$9:$BN$9,1),FALSE),0)+IFERROR(VLOOKUP($B15,'RA8-Water Management Structures'!$A$11:$BN$18,MATCH(Summary!AE$1,'RA8-Water Management Structures'!$A$9:$BN$9,1),FALSE),0)+IFERROR(VLOOKUP($B15,'RA9-Codisposal Upper'!$A$11:$BN$18,MATCH(Summary!AE$1,'RA9-Codisposal Upper'!$A$9:$BN$9,1),FALSE),0)+IFERROR(VLOOKUP($B15,'RA10-Codisposal Slopes'!$A$11:$BN$18,MATCH(Summary!AE$1,'RA10-Codisposal Slopes'!$A$9:$BN$9,1),FALSE),0)+IFERROR(VLOOKUP($B15,'IA1-Final Void inc Ramps'!$A$11:$BN$18,MATCH(Summary!AE$1,'IA1-Final Void inc Ramps'!$A$9:$BN$9,1),FALSE),0)</f>
        <v>0</v>
      </c>
      <c r="AF15" s="51">
        <f>IFERROR(VLOOKUP($B15,'RA1- Elevated Dumps Upper'!$A$11:$BN$18,MATCH(Summary!AF$1,'RA1- Elevated Dumps Upper'!$A$9:$BN$9,1),FALSE),0)+IFERROR(VLOOKUP($B15,'RA2-Elevated Dumps Slopes'!$A$11:$BN$18,MATCH(Summary!AF$1,'RA2-Elevated Dumps Slopes'!$A$9:$BN$9,1),FALSE),0)+IFERROR(VLOOKUP($B15,'RA3-Backfilled Pits'!$A$11:$BN$18,MATCH(Summary!AF$1,'RA3-Backfilled Pits'!$A$9:$BN$9,1),FALSE),0)+IFERROR(VLOOKUP($B15,'RA4-Tracks_Roads'!$A$11:$BN$18,MATCH(Summary!AF$1,'RA4-Tracks_Roads'!$A$9:$BN$9,1),FALSE),0)+IFERROR(VLOOKUP($B15,'RA5-ROM'!$A$11:$BN$18,MATCH(Summary!AF$1,'RA5-ROM'!$A$9:$BN$9,1),FALSE),0)+IFERROR(VLOOKUP($B15,'RA6-CHPP'!$A$11:$BN$18,MATCH(Summary!AF$1,'RA6-CHPP'!$A$9:$BN$9,1),FALSE),0)+IFERROR(VLOOKUP($B15,'RA7-Mine Infrastructure Area'!$A$11:$BN$18,MATCH(Summary!AF$1,'RA7-Mine Infrastructure Area'!$A$9:$BN$9,1),FALSE),0)+IFERROR(VLOOKUP($B15,'RA8-Water Management Structures'!$A$11:$BN$18,MATCH(Summary!AF$1,'RA8-Water Management Structures'!$A$9:$BN$9,1),FALSE),0)+IFERROR(VLOOKUP($B15,'RA9-Codisposal Upper'!$A$11:$BN$18,MATCH(Summary!AF$1,'RA9-Codisposal Upper'!$A$9:$BN$9,1),FALSE),0)+IFERROR(VLOOKUP($B15,'RA10-Codisposal Slopes'!$A$11:$BN$18,MATCH(Summary!AF$1,'RA10-Codisposal Slopes'!$A$9:$BN$9,1),FALSE),0)+IFERROR(VLOOKUP($B15,'IA1-Final Void inc Ramps'!$A$11:$BN$18,MATCH(Summary!AF$1,'IA1-Final Void inc Ramps'!$A$9:$BN$9,1),FALSE),0)</f>
        <v>0</v>
      </c>
      <c r="AG15" s="51">
        <f>IFERROR(VLOOKUP($B15,'RA1- Elevated Dumps Upper'!$A$11:$BN$18,MATCH(Summary!AG$1,'RA1- Elevated Dumps Upper'!$A$9:$BN$9,1),FALSE),0)+IFERROR(VLOOKUP($B15,'RA2-Elevated Dumps Slopes'!$A$11:$BN$18,MATCH(Summary!AG$1,'RA2-Elevated Dumps Slopes'!$A$9:$BN$9,1),FALSE),0)+IFERROR(VLOOKUP($B15,'RA3-Backfilled Pits'!$A$11:$BN$18,MATCH(Summary!AG$1,'RA3-Backfilled Pits'!$A$9:$BN$9,1),FALSE),0)+IFERROR(VLOOKUP($B15,'RA4-Tracks_Roads'!$A$11:$BN$18,MATCH(Summary!AG$1,'RA4-Tracks_Roads'!$A$9:$BN$9,1),FALSE),0)+IFERROR(VLOOKUP($B15,'RA5-ROM'!$A$11:$BN$18,MATCH(Summary!AG$1,'RA5-ROM'!$A$9:$BN$9,1),FALSE),0)+IFERROR(VLOOKUP($B15,'RA6-CHPP'!$A$11:$BN$18,MATCH(Summary!AG$1,'RA6-CHPP'!$A$9:$BN$9,1),FALSE),0)+IFERROR(VLOOKUP($B15,'RA7-Mine Infrastructure Area'!$A$11:$BN$18,MATCH(Summary!AG$1,'RA7-Mine Infrastructure Area'!$A$9:$BN$9,1),FALSE),0)+IFERROR(VLOOKUP($B15,'RA8-Water Management Structures'!$A$11:$BN$18,MATCH(Summary!AG$1,'RA8-Water Management Structures'!$A$9:$BN$9,1),FALSE),0)+IFERROR(VLOOKUP($B15,'RA9-Codisposal Upper'!$A$11:$BN$18,MATCH(Summary!AG$1,'RA9-Codisposal Upper'!$A$9:$BN$9,1),FALSE),0)+IFERROR(VLOOKUP($B15,'RA10-Codisposal Slopes'!$A$11:$BN$18,MATCH(Summary!AG$1,'RA10-Codisposal Slopes'!$A$9:$BN$9,1),FALSE),0)+IFERROR(VLOOKUP($B15,'IA1-Final Void inc Ramps'!$A$11:$BN$18,MATCH(Summary!AG$1,'IA1-Final Void inc Ramps'!$A$9:$BN$9,1),FALSE),0)</f>
        <v>0</v>
      </c>
      <c r="AH15" s="51">
        <f>IFERROR(VLOOKUP($B15,'RA1- Elevated Dumps Upper'!$A$11:$BN$18,MATCH(Summary!AH$1,'RA1- Elevated Dumps Upper'!$A$9:$BN$9,1),FALSE),0)+IFERROR(VLOOKUP($B15,'RA2-Elevated Dumps Slopes'!$A$11:$BN$18,MATCH(Summary!AH$1,'RA2-Elevated Dumps Slopes'!$A$9:$BN$9,1),FALSE),0)+IFERROR(VLOOKUP($B15,'RA3-Backfilled Pits'!$A$11:$BN$18,MATCH(Summary!AH$1,'RA3-Backfilled Pits'!$A$9:$BN$9,1),FALSE),0)+IFERROR(VLOOKUP($B15,'RA4-Tracks_Roads'!$A$11:$BN$18,MATCH(Summary!AH$1,'RA4-Tracks_Roads'!$A$9:$BN$9,1),FALSE),0)+IFERROR(VLOOKUP($B15,'RA5-ROM'!$A$11:$BN$18,MATCH(Summary!AH$1,'RA5-ROM'!$A$9:$BN$9,1),FALSE),0)+IFERROR(VLOOKUP($B15,'RA6-CHPP'!$A$11:$BN$18,MATCH(Summary!AH$1,'RA6-CHPP'!$A$9:$BN$9,1),FALSE),0)+IFERROR(VLOOKUP($B15,'RA7-Mine Infrastructure Area'!$A$11:$BN$18,MATCH(Summary!AH$1,'RA7-Mine Infrastructure Area'!$A$9:$BN$9,1),FALSE),0)+IFERROR(VLOOKUP($B15,'RA8-Water Management Structures'!$A$11:$BN$18,MATCH(Summary!AH$1,'RA8-Water Management Structures'!$A$9:$BN$9,1),FALSE),0)+IFERROR(VLOOKUP($B15,'RA9-Codisposal Upper'!$A$11:$BN$18,MATCH(Summary!AH$1,'RA9-Codisposal Upper'!$A$9:$BN$9,1),FALSE),0)+IFERROR(VLOOKUP($B15,'RA10-Codisposal Slopes'!$A$11:$BN$18,MATCH(Summary!AH$1,'RA10-Codisposal Slopes'!$A$9:$BN$9,1),FALSE),0)+IFERROR(VLOOKUP($B15,'IA1-Final Void inc Ramps'!$A$11:$BN$18,MATCH(Summary!AH$1,'IA1-Final Void inc Ramps'!$A$9:$BN$9,1),FALSE),0)</f>
        <v>65.300000000000011</v>
      </c>
      <c r="AI15" s="51">
        <f>IFERROR(VLOOKUP($B15,'RA1- Elevated Dumps Upper'!$A$11:$BN$18,MATCH(Summary!AI$1,'RA1- Elevated Dumps Upper'!$A$9:$BN$9,1),FALSE),0)+IFERROR(VLOOKUP($B15,'RA2-Elevated Dumps Slopes'!$A$11:$BN$18,MATCH(Summary!AI$1,'RA2-Elevated Dumps Slopes'!$A$9:$BN$9,1),FALSE),0)+IFERROR(VLOOKUP($B15,'RA3-Backfilled Pits'!$A$11:$BN$18,MATCH(Summary!AI$1,'RA3-Backfilled Pits'!$A$9:$BN$9,1),FALSE),0)+IFERROR(VLOOKUP($B15,'RA4-Tracks_Roads'!$A$11:$BN$18,MATCH(Summary!AI$1,'RA4-Tracks_Roads'!$A$9:$BN$9,1),FALSE),0)+IFERROR(VLOOKUP($B15,'RA5-ROM'!$A$11:$BN$18,MATCH(Summary!AI$1,'RA5-ROM'!$A$9:$BN$9,1),FALSE),0)+IFERROR(VLOOKUP($B15,'RA6-CHPP'!$A$11:$BN$18,MATCH(Summary!AI$1,'RA6-CHPP'!$A$9:$BN$9,1),FALSE),0)+IFERROR(VLOOKUP($B15,'RA7-Mine Infrastructure Area'!$A$11:$BN$18,MATCH(Summary!AI$1,'RA7-Mine Infrastructure Area'!$A$9:$BN$9,1),FALSE),0)+IFERROR(VLOOKUP($B15,'RA8-Water Management Structures'!$A$11:$BN$18,MATCH(Summary!AI$1,'RA8-Water Management Structures'!$A$9:$BN$9,1),FALSE),0)+IFERROR(VLOOKUP($B15,'RA9-Codisposal Upper'!$A$11:$BN$18,MATCH(Summary!AI$1,'RA9-Codisposal Upper'!$A$9:$BN$9,1),FALSE),0)+IFERROR(VLOOKUP($B15,'RA10-Codisposal Slopes'!$A$11:$BN$18,MATCH(Summary!AI$1,'RA10-Codisposal Slopes'!$A$9:$BN$9,1),FALSE),0)+IFERROR(VLOOKUP($B15,'IA1-Final Void inc Ramps'!$A$11:$BN$18,MATCH(Summary!AI$1,'IA1-Final Void inc Ramps'!$A$9:$BN$9,1),FALSE),0)</f>
        <v>65.300000000000011</v>
      </c>
      <c r="AJ15" s="51">
        <f>IFERROR(VLOOKUP($B15,'RA1- Elevated Dumps Upper'!$A$11:$BN$18,MATCH(Summary!AJ$1,'RA1- Elevated Dumps Upper'!$A$9:$BN$9,1),FALSE),0)+IFERROR(VLOOKUP($B15,'RA2-Elevated Dumps Slopes'!$A$11:$BN$18,MATCH(Summary!AJ$1,'RA2-Elevated Dumps Slopes'!$A$9:$BN$9,1),FALSE),0)+IFERROR(VLOOKUP($B15,'RA3-Backfilled Pits'!$A$11:$BN$18,MATCH(Summary!AJ$1,'RA3-Backfilled Pits'!$A$9:$BN$9,1),FALSE),0)+IFERROR(VLOOKUP($B15,'RA4-Tracks_Roads'!$A$11:$BN$18,MATCH(Summary!AJ$1,'RA4-Tracks_Roads'!$A$9:$BN$9,1),FALSE),0)+IFERROR(VLOOKUP($B15,'RA5-ROM'!$A$11:$BN$18,MATCH(Summary!AJ$1,'RA5-ROM'!$A$9:$BN$9,1),FALSE),0)+IFERROR(VLOOKUP($B15,'RA6-CHPP'!$A$11:$BN$18,MATCH(Summary!AJ$1,'RA6-CHPP'!$A$9:$BN$9,1),FALSE),0)+IFERROR(VLOOKUP($B15,'RA7-Mine Infrastructure Area'!$A$11:$BN$18,MATCH(Summary!AJ$1,'RA7-Mine Infrastructure Area'!$A$9:$BN$9,1),FALSE),0)+IFERROR(VLOOKUP($B15,'RA8-Water Management Structures'!$A$11:$BN$18,MATCH(Summary!AJ$1,'RA8-Water Management Structures'!$A$9:$BN$9,1),FALSE),0)+IFERROR(VLOOKUP($B15,'RA9-Codisposal Upper'!$A$11:$BN$18,MATCH(Summary!AJ$1,'RA9-Codisposal Upper'!$A$9:$BN$9,1),FALSE),0)+IFERROR(VLOOKUP($B15,'RA10-Codisposal Slopes'!$A$11:$BN$18,MATCH(Summary!AJ$1,'RA10-Codisposal Slopes'!$A$9:$BN$9,1),FALSE),0)+IFERROR(VLOOKUP($B15,'IA1-Final Void inc Ramps'!$A$11:$BN$18,MATCH(Summary!AJ$1,'IA1-Final Void inc Ramps'!$A$9:$BN$9,1),FALSE),0)</f>
        <v>65.300000000000011</v>
      </c>
      <c r="AK15" s="51">
        <f>IFERROR(VLOOKUP($B15,'RA1- Elevated Dumps Upper'!$A$11:$BN$18,MATCH(Summary!AK$1,'RA1- Elevated Dumps Upper'!$A$9:$BN$9,1),FALSE),0)+IFERROR(VLOOKUP($B15,'RA2-Elevated Dumps Slopes'!$A$11:$BN$18,MATCH(Summary!AK$1,'RA2-Elevated Dumps Slopes'!$A$9:$BN$9,1),FALSE),0)+IFERROR(VLOOKUP($B15,'RA3-Backfilled Pits'!$A$11:$BN$18,MATCH(Summary!AK$1,'RA3-Backfilled Pits'!$A$9:$BN$9,1),FALSE),0)+IFERROR(VLOOKUP($B15,'RA4-Tracks_Roads'!$A$11:$BN$18,MATCH(Summary!AK$1,'RA4-Tracks_Roads'!$A$9:$BN$9,1),FALSE),0)+IFERROR(VLOOKUP($B15,'RA5-ROM'!$A$11:$BN$18,MATCH(Summary!AK$1,'RA5-ROM'!$A$9:$BN$9,1),FALSE),0)+IFERROR(VLOOKUP($B15,'RA6-CHPP'!$A$11:$BN$18,MATCH(Summary!AK$1,'RA6-CHPP'!$A$9:$BN$9,1),FALSE),0)+IFERROR(VLOOKUP($B15,'RA7-Mine Infrastructure Area'!$A$11:$BN$18,MATCH(Summary!AK$1,'RA7-Mine Infrastructure Area'!$A$9:$BN$9,1),FALSE),0)+IFERROR(VLOOKUP($B15,'RA8-Water Management Structures'!$A$11:$BN$18,MATCH(Summary!AK$1,'RA8-Water Management Structures'!$A$9:$BN$9,1),FALSE),0)+IFERROR(VLOOKUP($B15,'RA9-Codisposal Upper'!$A$11:$BN$18,MATCH(Summary!AK$1,'RA9-Codisposal Upper'!$A$9:$BN$9,1),FALSE),0)+IFERROR(VLOOKUP($B15,'RA10-Codisposal Slopes'!$A$11:$BN$18,MATCH(Summary!AK$1,'RA10-Codisposal Slopes'!$A$9:$BN$9,1),FALSE),0)+IFERROR(VLOOKUP($B15,'IA1-Final Void inc Ramps'!$A$11:$BN$18,MATCH(Summary!AK$1,'IA1-Final Void inc Ramps'!$A$9:$BN$9,1),FALSE),0)</f>
        <v>65.300000000000011</v>
      </c>
      <c r="AL15" s="51">
        <f>IFERROR(VLOOKUP($B15,'RA1- Elevated Dumps Upper'!$A$11:$BN$18,MATCH(Summary!AL$1,'RA1- Elevated Dumps Upper'!$A$9:$BN$9,1),FALSE),0)+IFERROR(VLOOKUP($B15,'RA2-Elevated Dumps Slopes'!$A$11:$BN$18,MATCH(Summary!AL$1,'RA2-Elevated Dumps Slopes'!$A$9:$BN$9,1),FALSE),0)+IFERROR(VLOOKUP($B15,'RA3-Backfilled Pits'!$A$11:$BN$18,MATCH(Summary!AL$1,'RA3-Backfilled Pits'!$A$9:$BN$9,1),FALSE),0)+IFERROR(VLOOKUP($B15,'RA4-Tracks_Roads'!$A$11:$BN$18,MATCH(Summary!AL$1,'RA4-Tracks_Roads'!$A$9:$BN$9,1),FALSE),0)+IFERROR(VLOOKUP($B15,'RA5-ROM'!$A$11:$BN$18,MATCH(Summary!AL$1,'RA5-ROM'!$A$9:$BN$9,1),FALSE),0)+IFERROR(VLOOKUP($B15,'RA6-CHPP'!$A$11:$BN$18,MATCH(Summary!AL$1,'RA6-CHPP'!$A$9:$BN$9,1),FALSE),0)+IFERROR(VLOOKUP($B15,'RA7-Mine Infrastructure Area'!$A$11:$BN$18,MATCH(Summary!AL$1,'RA7-Mine Infrastructure Area'!$A$9:$BN$9,1),FALSE),0)+IFERROR(VLOOKUP($B15,'RA8-Water Management Structures'!$A$11:$BN$18,MATCH(Summary!AL$1,'RA8-Water Management Structures'!$A$9:$BN$9,1),FALSE),0)+IFERROR(VLOOKUP($B15,'RA9-Codisposal Upper'!$A$11:$BN$18,MATCH(Summary!AL$1,'RA9-Codisposal Upper'!$A$9:$BN$9,1),FALSE),0)+IFERROR(VLOOKUP($B15,'RA10-Codisposal Slopes'!$A$11:$BN$18,MATCH(Summary!AL$1,'RA10-Codisposal Slopes'!$A$9:$BN$9,1),FALSE),0)+IFERROR(VLOOKUP($B15,'IA1-Final Void inc Ramps'!$A$11:$BN$18,MATCH(Summary!AL$1,'IA1-Final Void inc Ramps'!$A$9:$BN$9,1),FALSE),0)</f>
        <v>65.300000000000011</v>
      </c>
      <c r="AM15" s="51">
        <f>IFERROR(VLOOKUP($B15,'RA1- Elevated Dumps Upper'!$A$11:$BN$18,MATCH(Summary!AM$1,'RA1- Elevated Dumps Upper'!$A$9:$BN$9,1),FALSE),0)+IFERROR(VLOOKUP($B15,'RA2-Elevated Dumps Slopes'!$A$11:$BN$18,MATCH(Summary!AM$1,'RA2-Elevated Dumps Slopes'!$A$9:$BN$9,1),FALSE),0)+IFERROR(VLOOKUP($B15,'RA3-Backfilled Pits'!$A$11:$BN$18,MATCH(Summary!AM$1,'RA3-Backfilled Pits'!$A$9:$BN$9,1),FALSE),0)+IFERROR(VLOOKUP($B15,'RA4-Tracks_Roads'!$A$11:$BN$18,MATCH(Summary!AM$1,'RA4-Tracks_Roads'!$A$9:$BN$9,1),FALSE),0)+IFERROR(VLOOKUP($B15,'RA5-ROM'!$A$11:$BN$18,MATCH(Summary!AM$1,'RA5-ROM'!$A$9:$BN$9,1),FALSE),0)+IFERROR(VLOOKUP($B15,'RA6-CHPP'!$A$11:$BN$18,MATCH(Summary!AM$1,'RA6-CHPP'!$A$9:$BN$9,1),FALSE),0)+IFERROR(VLOOKUP($B15,'RA7-Mine Infrastructure Area'!$A$11:$BN$18,MATCH(Summary!AM$1,'RA7-Mine Infrastructure Area'!$A$9:$BN$9,1),FALSE),0)+IFERROR(VLOOKUP($B15,'RA8-Water Management Structures'!$A$11:$BN$18,MATCH(Summary!AM$1,'RA8-Water Management Structures'!$A$9:$BN$9,1),FALSE),0)+IFERROR(VLOOKUP($B15,'RA9-Codisposal Upper'!$A$11:$BN$18,MATCH(Summary!AM$1,'RA9-Codisposal Upper'!$A$9:$BN$9,1),FALSE),0)+IFERROR(VLOOKUP($B15,'RA10-Codisposal Slopes'!$A$11:$BN$18,MATCH(Summary!AM$1,'RA10-Codisposal Slopes'!$A$9:$BN$9,1),FALSE),0)+IFERROR(VLOOKUP($B15,'IA1-Final Void inc Ramps'!$A$11:$BN$18,MATCH(Summary!AM$1,'IA1-Final Void inc Ramps'!$A$9:$BN$9,1),FALSE),0)</f>
        <v>65.300000000000011</v>
      </c>
      <c r="AN15" s="51">
        <f>IFERROR(VLOOKUP($B15,'RA1- Elevated Dumps Upper'!$A$11:$BN$18,MATCH(Summary!AN$1,'RA1- Elevated Dumps Upper'!$A$9:$BN$9,1),FALSE),0)+IFERROR(VLOOKUP($B15,'RA2-Elevated Dumps Slopes'!$A$11:$BN$18,MATCH(Summary!AN$1,'RA2-Elevated Dumps Slopes'!$A$9:$BN$9,1),FALSE),0)+IFERROR(VLOOKUP($B15,'RA3-Backfilled Pits'!$A$11:$BN$18,MATCH(Summary!AN$1,'RA3-Backfilled Pits'!$A$9:$BN$9,1),FALSE),0)+IFERROR(VLOOKUP($B15,'RA4-Tracks_Roads'!$A$11:$BN$18,MATCH(Summary!AN$1,'RA4-Tracks_Roads'!$A$9:$BN$9,1),FALSE),0)+IFERROR(VLOOKUP($B15,'RA5-ROM'!$A$11:$BN$18,MATCH(Summary!AN$1,'RA5-ROM'!$A$9:$BN$9,1),FALSE),0)+IFERROR(VLOOKUP($B15,'RA6-CHPP'!$A$11:$BN$18,MATCH(Summary!AN$1,'RA6-CHPP'!$A$9:$BN$9,1),FALSE),0)+IFERROR(VLOOKUP($B15,'RA7-Mine Infrastructure Area'!$A$11:$BN$18,MATCH(Summary!AN$1,'RA7-Mine Infrastructure Area'!$A$9:$BN$9,1),FALSE),0)+IFERROR(VLOOKUP($B15,'RA8-Water Management Structures'!$A$11:$BN$18,MATCH(Summary!AN$1,'RA8-Water Management Structures'!$A$9:$BN$9,1),FALSE),0)+IFERROR(VLOOKUP($B15,'RA9-Codisposal Upper'!$A$11:$BN$18,MATCH(Summary!AN$1,'RA9-Codisposal Upper'!$A$9:$BN$9,1),FALSE),0)+IFERROR(VLOOKUP($B15,'RA10-Codisposal Slopes'!$A$11:$BN$18,MATCH(Summary!AN$1,'RA10-Codisposal Slopes'!$A$9:$BN$9,1),FALSE),0)+IFERROR(VLOOKUP($B15,'IA1-Final Void inc Ramps'!$A$11:$BN$18,MATCH(Summary!AN$1,'IA1-Final Void inc Ramps'!$A$9:$BN$9,1),FALSE),0)</f>
        <v>65.300000000000011</v>
      </c>
      <c r="AO15" s="51">
        <f>IFERROR(VLOOKUP($B15,'RA1- Elevated Dumps Upper'!$A$11:$BN$18,MATCH(Summary!AO$1,'RA1- Elevated Dumps Upper'!$A$9:$BN$9,1),FALSE),0)+IFERROR(VLOOKUP($B15,'RA2-Elevated Dumps Slopes'!$A$11:$BN$18,MATCH(Summary!AO$1,'RA2-Elevated Dumps Slopes'!$A$9:$BN$9,1),FALSE),0)+IFERROR(VLOOKUP($B15,'RA3-Backfilled Pits'!$A$11:$BN$18,MATCH(Summary!AO$1,'RA3-Backfilled Pits'!$A$9:$BN$9,1),FALSE),0)+IFERROR(VLOOKUP($B15,'RA4-Tracks_Roads'!$A$11:$BN$18,MATCH(Summary!AO$1,'RA4-Tracks_Roads'!$A$9:$BN$9,1),FALSE),0)+IFERROR(VLOOKUP($B15,'RA5-ROM'!$A$11:$BN$18,MATCH(Summary!AO$1,'RA5-ROM'!$A$9:$BN$9,1),FALSE),0)+IFERROR(VLOOKUP($B15,'RA6-CHPP'!$A$11:$BN$18,MATCH(Summary!AO$1,'RA6-CHPP'!$A$9:$BN$9,1),FALSE),0)+IFERROR(VLOOKUP($B15,'RA7-Mine Infrastructure Area'!$A$11:$BN$18,MATCH(Summary!AO$1,'RA7-Mine Infrastructure Area'!$A$9:$BN$9,1),FALSE),0)+IFERROR(VLOOKUP($B15,'RA8-Water Management Structures'!$A$11:$BN$18,MATCH(Summary!AO$1,'RA8-Water Management Structures'!$A$9:$BN$9,1),FALSE),0)+IFERROR(VLOOKUP($B15,'RA9-Codisposal Upper'!$A$11:$BN$18,MATCH(Summary!AO$1,'RA9-Codisposal Upper'!$A$9:$BN$9,1),FALSE),0)+IFERROR(VLOOKUP($B15,'RA10-Codisposal Slopes'!$A$11:$BN$18,MATCH(Summary!AO$1,'RA10-Codisposal Slopes'!$A$9:$BN$9,1),FALSE),0)+IFERROR(VLOOKUP($B15,'IA1-Final Void inc Ramps'!$A$11:$BN$18,MATCH(Summary!AO$1,'IA1-Final Void inc Ramps'!$A$9:$BN$9,1),FALSE),0)</f>
        <v>65.300000000000011</v>
      </c>
      <c r="AP15" s="51">
        <f>IFERROR(VLOOKUP($B15,'RA1- Elevated Dumps Upper'!$A$11:$BN$18,MATCH(Summary!AP$1,'RA1- Elevated Dumps Upper'!$A$9:$BN$9,1),FALSE),0)+IFERROR(VLOOKUP($B15,'RA2-Elevated Dumps Slopes'!$A$11:$BN$18,MATCH(Summary!AP$1,'RA2-Elevated Dumps Slopes'!$A$9:$BN$9,1),FALSE),0)+IFERROR(VLOOKUP($B15,'RA3-Backfilled Pits'!$A$11:$BN$18,MATCH(Summary!AP$1,'RA3-Backfilled Pits'!$A$9:$BN$9,1),FALSE),0)+IFERROR(VLOOKUP($B15,'RA4-Tracks_Roads'!$A$11:$BN$18,MATCH(Summary!AP$1,'RA4-Tracks_Roads'!$A$9:$BN$9,1),FALSE),0)+IFERROR(VLOOKUP($B15,'RA5-ROM'!$A$11:$BN$18,MATCH(Summary!AP$1,'RA5-ROM'!$A$9:$BN$9,1),FALSE),0)+IFERROR(VLOOKUP($B15,'RA6-CHPP'!$A$11:$BN$18,MATCH(Summary!AP$1,'RA6-CHPP'!$A$9:$BN$9,1),FALSE),0)+IFERROR(VLOOKUP($B15,'RA7-Mine Infrastructure Area'!$A$11:$BN$18,MATCH(Summary!AP$1,'RA7-Mine Infrastructure Area'!$A$9:$BN$9,1),FALSE),0)+IFERROR(VLOOKUP($B15,'RA8-Water Management Structures'!$A$11:$BN$18,MATCH(Summary!AP$1,'RA8-Water Management Structures'!$A$9:$BN$9,1),FALSE),0)+IFERROR(VLOOKUP($B15,'RA9-Codisposal Upper'!$A$11:$BN$18,MATCH(Summary!AP$1,'RA9-Codisposal Upper'!$A$9:$BN$9,1),FALSE),0)+IFERROR(VLOOKUP($B15,'RA10-Codisposal Slopes'!$A$11:$BN$18,MATCH(Summary!AP$1,'RA10-Codisposal Slopes'!$A$9:$BN$9,1),FALSE),0)+IFERROR(VLOOKUP($B15,'IA1-Final Void inc Ramps'!$A$11:$BN$18,MATCH(Summary!AP$1,'IA1-Final Void inc Ramps'!$A$9:$BN$9,1),FALSE),0)</f>
        <v>65.300000000000011</v>
      </c>
      <c r="AQ15" s="51">
        <f>IFERROR(VLOOKUP($B15,'RA1- Elevated Dumps Upper'!$A$11:$BN$18,MATCH(Summary!AQ$1,'RA1- Elevated Dumps Upper'!$A$9:$BN$9,1),FALSE),0)+IFERROR(VLOOKUP($B15,'RA2-Elevated Dumps Slopes'!$A$11:$BN$18,MATCH(Summary!AQ$1,'RA2-Elevated Dumps Slopes'!$A$9:$BN$9,1),FALSE),0)+IFERROR(VLOOKUP($B15,'RA3-Backfilled Pits'!$A$11:$BN$18,MATCH(Summary!AQ$1,'RA3-Backfilled Pits'!$A$9:$BN$9,1),FALSE),0)+IFERROR(VLOOKUP($B15,'RA4-Tracks_Roads'!$A$11:$BN$18,MATCH(Summary!AQ$1,'RA4-Tracks_Roads'!$A$9:$BN$9,1),FALSE),0)+IFERROR(VLOOKUP($B15,'RA5-ROM'!$A$11:$BN$18,MATCH(Summary!AQ$1,'RA5-ROM'!$A$9:$BN$9,1),FALSE),0)+IFERROR(VLOOKUP($B15,'RA6-CHPP'!$A$11:$BN$18,MATCH(Summary!AQ$1,'RA6-CHPP'!$A$9:$BN$9,1),FALSE),0)+IFERROR(VLOOKUP($B15,'RA7-Mine Infrastructure Area'!$A$11:$BN$18,MATCH(Summary!AQ$1,'RA7-Mine Infrastructure Area'!$A$9:$BN$9,1),FALSE),0)+IFERROR(VLOOKUP($B15,'RA8-Water Management Structures'!$A$11:$BN$18,MATCH(Summary!AQ$1,'RA8-Water Management Structures'!$A$9:$BN$9,1),FALSE),0)+IFERROR(VLOOKUP($B15,'RA9-Codisposal Upper'!$A$11:$BN$18,MATCH(Summary!AQ$1,'RA9-Codisposal Upper'!$A$9:$BN$9,1),FALSE),0)+IFERROR(VLOOKUP($B15,'RA10-Codisposal Slopes'!$A$11:$BN$18,MATCH(Summary!AQ$1,'RA10-Codisposal Slopes'!$A$9:$BN$9,1),FALSE),0)+IFERROR(VLOOKUP($B15,'IA1-Final Void inc Ramps'!$A$11:$BN$18,MATCH(Summary!AQ$1,'IA1-Final Void inc Ramps'!$A$9:$BN$9,1),FALSE),0)</f>
        <v>65.300000000000011</v>
      </c>
      <c r="AR15" s="51">
        <f>IFERROR(VLOOKUP($B15,'RA1- Elevated Dumps Upper'!$A$11:$BN$18,MATCH(Summary!AR$1,'RA1- Elevated Dumps Upper'!$A$9:$BN$9,1),FALSE),0)+IFERROR(VLOOKUP($B15,'RA2-Elevated Dumps Slopes'!$A$11:$BN$18,MATCH(Summary!AR$1,'RA2-Elevated Dumps Slopes'!$A$9:$BN$9,1),FALSE),0)+IFERROR(VLOOKUP($B15,'RA3-Backfilled Pits'!$A$11:$BN$18,MATCH(Summary!AR$1,'RA3-Backfilled Pits'!$A$9:$BN$9,1),FALSE),0)+IFERROR(VLOOKUP($B15,'RA4-Tracks_Roads'!$A$11:$BN$18,MATCH(Summary!AR$1,'RA4-Tracks_Roads'!$A$9:$BN$9,1),FALSE),0)+IFERROR(VLOOKUP($B15,'RA5-ROM'!$A$11:$BN$18,MATCH(Summary!AR$1,'RA5-ROM'!$A$9:$BN$9,1),FALSE),0)+IFERROR(VLOOKUP($B15,'RA6-CHPP'!$A$11:$BN$18,MATCH(Summary!AR$1,'RA6-CHPP'!$A$9:$BN$9,1),FALSE),0)+IFERROR(VLOOKUP($B15,'RA7-Mine Infrastructure Area'!$A$11:$BN$18,MATCH(Summary!AR$1,'RA7-Mine Infrastructure Area'!$A$9:$BN$9,1),FALSE),0)+IFERROR(VLOOKUP($B15,'RA8-Water Management Structures'!$A$11:$BN$18,MATCH(Summary!AR$1,'RA8-Water Management Structures'!$A$9:$BN$9,1),FALSE),0)+IFERROR(VLOOKUP($B15,'RA9-Codisposal Upper'!$A$11:$BN$18,MATCH(Summary!AR$1,'RA9-Codisposal Upper'!$A$9:$BN$9,1),FALSE),0)+IFERROR(VLOOKUP($B15,'RA10-Codisposal Slopes'!$A$11:$BN$18,MATCH(Summary!AR$1,'RA10-Codisposal Slopes'!$A$9:$BN$9,1),FALSE),0)+IFERROR(VLOOKUP($B15,'IA1-Final Void inc Ramps'!$A$11:$BN$18,MATCH(Summary!AR$1,'IA1-Final Void inc Ramps'!$A$9:$BN$9,1),FALSE),0)</f>
        <v>65.300000000000011</v>
      </c>
      <c r="AS15" s="51">
        <f>IFERROR(VLOOKUP($B15,'RA1- Elevated Dumps Upper'!$A$11:$BN$18,MATCH(Summary!AS$1,'RA1- Elevated Dumps Upper'!$A$9:$BN$9,1),FALSE),0)+IFERROR(VLOOKUP($B15,'RA2-Elevated Dumps Slopes'!$A$11:$BN$18,MATCH(Summary!AS$1,'RA2-Elevated Dumps Slopes'!$A$9:$BN$9,1),FALSE),0)+IFERROR(VLOOKUP($B15,'RA3-Backfilled Pits'!$A$11:$BN$18,MATCH(Summary!AS$1,'RA3-Backfilled Pits'!$A$9:$BN$9,1),FALSE),0)+IFERROR(VLOOKUP($B15,'RA4-Tracks_Roads'!$A$11:$BN$18,MATCH(Summary!AS$1,'RA4-Tracks_Roads'!$A$9:$BN$9,1),FALSE),0)+IFERROR(VLOOKUP($B15,'RA5-ROM'!$A$11:$BN$18,MATCH(Summary!AS$1,'RA5-ROM'!$A$9:$BN$9,1),FALSE),0)+IFERROR(VLOOKUP($B15,'RA6-CHPP'!$A$11:$BN$18,MATCH(Summary!AS$1,'RA6-CHPP'!$A$9:$BN$9,1),FALSE),0)+IFERROR(VLOOKUP($B15,'RA7-Mine Infrastructure Area'!$A$11:$BN$18,MATCH(Summary!AS$1,'RA7-Mine Infrastructure Area'!$A$9:$BN$9,1),FALSE),0)+IFERROR(VLOOKUP($B15,'RA8-Water Management Structures'!$A$11:$BN$18,MATCH(Summary!AS$1,'RA8-Water Management Structures'!$A$9:$BN$9,1),FALSE),0)+IFERROR(VLOOKUP($B15,'RA9-Codisposal Upper'!$A$11:$BN$18,MATCH(Summary!AS$1,'RA9-Codisposal Upper'!$A$9:$BN$9,1),FALSE),0)+IFERROR(VLOOKUP($B15,'RA10-Codisposal Slopes'!$A$11:$BN$18,MATCH(Summary!AS$1,'RA10-Codisposal Slopes'!$A$9:$BN$9,1),FALSE),0)+IFERROR(VLOOKUP($B15,'IA1-Final Void inc Ramps'!$A$11:$BN$18,MATCH(Summary!AS$1,'IA1-Final Void inc Ramps'!$A$9:$BN$9,1),FALSE),0)</f>
        <v>65.300000000000011</v>
      </c>
      <c r="AT15" s="51">
        <f>IFERROR(VLOOKUP($B15,'RA1- Elevated Dumps Upper'!$A$11:$BN$18,MATCH(Summary!AT$1,'RA1- Elevated Dumps Upper'!$A$9:$BN$9,1),FALSE),0)+IFERROR(VLOOKUP($B15,'RA2-Elevated Dumps Slopes'!$A$11:$BN$18,MATCH(Summary!AT$1,'RA2-Elevated Dumps Slopes'!$A$9:$BN$9,1),FALSE),0)+IFERROR(VLOOKUP($B15,'RA3-Backfilled Pits'!$A$11:$BN$18,MATCH(Summary!AT$1,'RA3-Backfilled Pits'!$A$9:$BN$9,1),FALSE),0)+IFERROR(VLOOKUP($B15,'RA4-Tracks_Roads'!$A$11:$BN$18,MATCH(Summary!AT$1,'RA4-Tracks_Roads'!$A$9:$BN$9,1),FALSE),0)+IFERROR(VLOOKUP($B15,'RA5-ROM'!$A$11:$BN$18,MATCH(Summary!AT$1,'RA5-ROM'!$A$9:$BN$9,1),FALSE),0)+IFERROR(VLOOKUP($B15,'RA6-CHPP'!$A$11:$BN$18,MATCH(Summary!AT$1,'RA6-CHPP'!$A$9:$BN$9,1),FALSE),0)+IFERROR(VLOOKUP($B15,'RA7-Mine Infrastructure Area'!$A$11:$BN$18,MATCH(Summary!AT$1,'RA7-Mine Infrastructure Area'!$A$9:$BN$9,1),FALSE),0)+IFERROR(VLOOKUP($B15,'RA8-Water Management Structures'!$A$11:$BN$18,MATCH(Summary!AT$1,'RA8-Water Management Structures'!$A$9:$BN$9,1),FALSE),0)+IFERROR(VLOOKUP($B15,'RA9-Codisposal Upper'!$A$11:$BN$18,MATCH(Summary!AT$1,'RA9-Codisposal Upper'!$A$9:$BN$9,1),FALSE),0)+IFERROR(VLOOKUP($B15,'RA10-Codisposal Slopes'!$A$11:$BN$18,MATCH(Summary!AT$1,'RA10-Codisposal Slopes'!$A$9:$BN$9,1),FALSE),0)+IFERROR(VLOOKUP($B15,'IA1-Final Void inc Ramps'!$A$11:$BN$18,MATCH(Summary!AT$1,'IA1-Final Void inc Ramps'!$A$9:$BN$9,1),FALSE),0)</f>
        <v>65.300000000000011</v>
      </c>
      <c r="AU15" s="51">
        <f>IFERROR(VLOOKUP($B15,'RA1- Elevated Dumps Upper'!$A$11:$BN$18,MATCH(Summary!AU$1,'RA1- Elevated Dumps Upper'!$A$9:$BN$9,1),FALSE),0)+IFERROR(VLOOKUP($B15,'RA2-Elevated Dumps Slopes'!$A$11:$BN$18,MATCH(Summary!AU$1,'RA2-Elevated Dumps Slopes'!$A$9:$BN$9,1),FALSE),0)+IFERROR(VLOOKUP($B15,'RA3-Backfilled Pits'!$A$11:$BN$18,MATCH(Summary!AU$1,'RA3-Backfilled Pits'!$A$9:$BN$9,1),FALSE),0)+IFERROR(VLOOKUP($B15,'RA4-Tracks_Roads'!$A$11:$BN$18,MATCH(Summary!AU$1,'RA4-Tracks_Roads'!$A$9:$BN$9,1),FALSE),0)+IFERROR(VLOOKUP($B15,'RA5-ROM'!$A$11:$BN$18,MATCH(Summary!AU$1,'RA5-ROM'!$A$9:$BN$9,1),FALSE),0)+IFERROR(VLOOKUP($B15,'RA6-CHPP'!$A$11:$BN$18,MATCH(Summary!AU$1,'RA6-CHPP'!$A$9:$BN$9,1),FALSE),0)+IFERROR(VLOOKUP($B15,'RA7-Mine Infrastructure Area'!$A$11:$BN$18,MATCH(Summary!AU$1,'RA7-Mine Infrastructure Area'!$A$9:$BN$9,1),FALSE),0)+IFERROR(VLOOKUP($B15,'RA8-Water Management Structures'!$A$11:$BN$18,MATCH(Summary!AU$1,'RA8-Water Management Structures'!$A$9:$BN$9,1),FALSE),0)+IFERROR(VLOOKUP($B15,'RA9-Codisposal Upper'!$A$11:$BN$18,MATCH(Summary!AU$1,'RA9-Codisposal Upper'!$A$9:$BN$9,1),FALSE),0)+IFERROR(VLOOKUP($B15,'RA10-Codisposal Slopes'!$A$11:$BN$18,MATCH(Summary!AU$1,'RA10-Codisposal Slopes'!$A$9:$BN$9,1),FALSE),0)+IFERROR(VLOOKUP($B15,'IA1-Final Void inc Ramps'!$A$11:$BN$18,MATCH(Summary!AU$1,'IA1-Final Void inc Ramps'!$A$9:$BN$9,1),FALSE),0)</f>
        <v>65.300000000000011</v>
      </c>
      <c r="AV15" s="51">
        <f>IFERROR(VLOOKUP($B15,'RA1- Elevated Dumps Upper'!$A$11:$BN$18,MATCH(Summary!AV$1,'RA1- Elevated Dumps Upper'!$A$9:$BN$9,1),FALSE),0)+IFERROR(VLOOKUP($B15,'RA2-Elevated Dumps Slopes'!$A$11:$BN$18,MATCH(Summary!AV$1,'RA2-Elevated Dumps Slopes'!$A$9:$BN$9,1),FALSE),0)+IFERROR(VLOOKUP($B15,'RA3-Backfilled Pits'!$A$11:$BN$18,MATCH(Summary!AV$1,'RA3-Backfilled Pits'!$A$9:$BN$9,1),FALSE),0)+IFERROR(VLOOKUP($B15,'RA4-Tracks_Roads'!$A$11:$BN$18,MATCH(Summary!AV$1,'RA4-Tracks_Roads'!$A$9:$BN$9,1),FALSE),0)+IFERROR(VLOOKUP($B15,'RA5-ROM'!$A$11:$BN$18,MATCH(Summary!AV$1,'RA5-ROM'!$A$9:$BN$9,1),FALSE),0)+IFERROR(VLOOKUP($B15,'RA6-CHPP'!$A$11:$BN$18,MATCH(Summary!AV$1,'RA6-CHPP'!$A$9:$BN$9,1),FALSE),0)+IFERROR(VLOOKUP($B15,'RA7-Mine Infrastructure Area'!$A$11:$BN$18,MATCH(Summary!AV$1,'RA7-Mine Infrastructure Area'!$A$9:$BN$9,1),FALSE),0)+IFERROR(VLOOKUP($B15,'RA8-Water Management Structures'!$A$11:$BN$18,MATCH(Summary!AV$1,'RA8-Water Management Structures'!$A$9:$BN$9,1),FALSE),0)+IFERROR(VLOOKUP($B15,'RA9-Codisposal Upper'!$A$11:$BN$18,MATCH(Summary!AV$1,'RA9-Codisposal Upper'!$A$9:$BN$9,1),FALSE),0)+IFERROR(VLOOKUP($B15,'RA10-Codisposal Slopes'!$A$11:$BN$18,MATCH(Summary!AV$1,'RA10-Codisposal Slopes'!$A$9:$BN$9,1),FALSE),0)+IFERROR(VLOOKUP($B15,'IA1-Final Void inc Ramps'!$A$11:$BN$18,MATCH(Summary!AV$1,'IA1-Final Void inc Ramps'!$A$9:$BN$9,1),FALSE),0)</f>
        <v>65.300000000000011</v>
      </c>
      <c r="AW15" s="51">
        <f>IFERROR(VLOOKUP($B15,'RA1- Elevated Dumps Upper'!$A$11:$BN$18,MATCH(Summary!AW$1,'RA1- Elevated Dumps Upper'!$A$9:$BN$9,1),FALSE),0)+IFERROR(VLOOKUP($B15,'RA2-Elevated Dumps Slopes'!$A$11:$BN$18,MATCH(Summary!AW$1,'RA2-Elevated Dumps Slopes'!$A$9:$BN$9,1),FALSE),0)+IFERROR(VLOOKUP($B15,'RA3-Backfilled Pits'!$A$11:$BN$18,MATCH(Summary!AW$1,'RA3-Backfilled Pits'!$A$9:$BN$9,1),FALSE),0)+IFERROR(VLOOKUP($B15,'RA4-Tracks_Roads'!$A$11:$BN$18,MATCH(Summary!AW$1,'RA4-Tracks_Roads'!$A$9:$BN$9,1),FALSE),0)+IFERROR(VLOOKUP($B15,'RA5-ROM'!$A$11:$BN$18,MATCH(Summary!AW$1,'RA5-ROM'!$A$9:$BN$9,1),FALSE),0)+IFERROR(VLOOKUP($B15,'RA6-CHPP'!$A$11:$BN$18,MATCH(Summary!AW$1,'RA6-CHPP'!$A$9:$BN$9,1),FALSE),0)+IFERROR(VLOOKUP($B15,'RA7-Mine Infrastructure Area'!$A$11:$BN$18,MATCH(Summary!AW$1,'RA7-Mine Infrastructure Area'!$A$9:$BN$9,1),FALSE),0)+IFERROR(VLOOKUP($B15,'RA8-Water Management Structures'!$A$11:$BN$18,MATCH(Summary!AW$1,'RA8-Water Management Structures'!$A$9:$BN$9,1),FALSE),0)+IFERROR(VLOOKUP($B15,'RA9-Codisposal Upper'!$A$11:$BN$18,MATCH(Summary!AW$1,'RA9-Codisposal Upper'!$A$9:$BN$9,1),FALSE),0)+IFERROR(VLOOKUP($B15,'RA10-Codisposal Slopes'!$A$11:$BN$18,MATCH(Summary!AW$1,'RA10-Codisposal Slopes'!$A$9:$BN$9,1),FALSE),0)+IFERROR(VLOOKUP($B15,'IA1-Final Void inc Ramps'!$A$11:$BN$18,MATCH(Summary!AW$1,'IA1-Final Void inc Ramps'!$A$9:$BN$9,1),FALSE),0)</f>
        <v>65.300000000000011</v>
      </c>
      <c r="AX15" s="51">
        <f>IFERROR(VLOOKUP($B15,'RA1- Elevated Dumps Upper'!$A$11:$BN$18,MATCH(Summary!AX$1,'RA1- Elevated Dumps Upper'!$A$9:$BN$9,1),FALSE),0)+IFERROR(VLOOKUP($B15,'RA2-Elevated Dumps Slopes'!$A$11:$BN$18,MATCH(Summary!AX$1,'RA2-Elevated Dumps Slopes'!$A$9:$BN$9,1),FALSE),0)+IFERROR(VLOOKUP($B15,'RA3-Backfilled Pits'!$A$11:$BN$18,MATCH(Summary!AX$1,'RA3-Backfilled Pits'!$A$9:$BN$9,1),FALSE),0)+IFERROR(VLOOKUP($B15,'RA4-Tracks_Roads'!$A$11:$BN$18,MATCH(Summary!AX$1,'RA4-Tracks_Roads'!$A$9:$BN$9,1),FALSE),0)+IFERROR(VLOOKUP($B15,'RA5-ROM'!$A$11:$BN$18,MATCH(Summary!AX$1,'RA5-ROM'!$A$9:$BN$9,1),FALSE),0)+IFERROR(VLOOKUP($B15,'RA6-CHPP'!$A$11:$BN$18,MATCH(Summary!AX$1,'RA6-CHPP'!$A$9:$BN$9,1),FALSE),0)+IFERROR(VLOOKUP($B15,'RA7-Mine Infrastructure Area'!$A$11:$BN$18,MATCH(Summary!AX$1,'RA7-Mine Infrastructure Area'!$A$9:$BN$9,1),FALSE),0)+IFERROR(VLOOKUP($B15,'RA8-Water Management Structures'!$A$11:$BN$18,MATCH(Summary!AX$1,'RA8-Water Management Structures'!$A$9:$BN$9,1),FALSE),0)+IFERROR(VLOOKUP($B15,'RA9-Codisposal Upper'!$A$11:$BN$18,MATCH(Summary!AX$1,'RA9-Codisposal Upper'!$A$9:$BN$9,1),FALSE),0)+IFERROR(VLOOKUP($B15,'RA10-Codisposal Slopes'!$A$11:$BN$18,MATCH(Summary!AX$1,'RA10-Codisposal Slopes'!$A$9:$BN$9,1),FALSE),0)+IFERROR(VLOOKUP($B15,'IA1-Final Void inc Ramps'!$A$11:$BN$18,MATCH(Summary!AX$1,'IA1-Final Void inc Ramps'!$A$9:$BN$9,1),FALSE),0)</f>
        <v>65.300000000000011</v>
      </c>
      <c r="AY15" s="51">
        <f>IFERROR(VLOOKUP($B15,'RA1- Elevated Dumps Upper'!$A$11:$BN$18,MATCH(Summary!AY$1,'RA1- Elevated Dumps Upper'!$A$9:$BN$9,1),FALSE),0)+IFERROR(VLOOKUP($B15,'RA2-Elevated Dumps Slopes'!$A$11:$BN$18,MATCH(Summary!AY$1,'RA2-Elevated Dumps Slopes'!$A$9:$BN$9,1),FALSE),0)+IFERROR(VLOOKUP($B15,'RA3-Backfilled Pits'!$A$11:$BN$18,MATCH(Summary!AY$1,'RA3-Backfilled Pits'!$A$9:$BN$9,1),FALSE),0)+IFERROR(VLOOKUP($B15,'RA4-Tracks_Roads'!$A$11:$BN$18,MATCH(Summary!AY$1,'RA4-Tracks_Roads'!$A$9:$BN$9,1),FALSE),0)+IFERROR(VLOOKUP($B15,'RA5-ROM'!$A$11:$BN$18,MATCH(Summary!AY$1,'RA5-ROM'!$A$9:$BN$9,1),FALSE),0)+IFERROR(VLOOKUP($B15,'RA6-CHPP'!$A$11:$BN$18,MATCH(Summary!AY$1,'RA6-CHPP'!$A$9:$BN$9,1),FALSE),0)+IFERROR(VLOOKUP($B15,'RA7-Mine Infrastructure Area'!$A$11:$BN$18,MATCH(Summary!AY$1,'RA7-Mine Infrastructure Area'!$A$9:$BN$9,1),FALSE),0)+IFERROR(VLOOKUP($B15,'RA8-Water Management Structures'!$A$11:$BN$18,MATCH(Summary!AY$1,'RA8-Water Management Structures'!$A$9:$BN$9,1),FALSE),0)+IFERROR(VLOOKUP($B15,'RA9-Codisposal Upper'!$A$11:$BN$18,MATCH(Summary!AY$1,'RA9-Codisposal Upper'!$A$9:$BN$9,1),FALSE),0)+IFERROR(VLOOKUP($B15,'RA10-Codisposal Slopes'!$A$11:$BN$18,MATCH(Summary!AY$1,'RA10-Codisposal Slopes'!$A$9:$BN$9,1),FALSE),0)+IFERROR(VLOOKUP($B15,'IA1-Final Void inc Ramps'!$A$11:$BN$18,MATCH(Summary!AY$1,'IA1-Final Void inc Ramps'!$A$9:$BN$9,1),FALSE),0)</f>
        <v>65.300000000000011</v>
      </c>
      <c r="AZ15" s="51">
        <f>IFERROR(VLOOKUP($B15,'RA1- Elevated Dumps Upper'!$A$11:$BN$18,MATCH(Summary!AZ$1,'RA1- Elevated Dumps Upper'!$A$9:$BN$9,1),FALSE),0)+IFERROR(VLOOKUP($B15,'RA2-Elevated Dumps Slopes'!$A$11:$BN$18,MATCH(Summary!AZ$1,'RA2-Elevated Dumps Slopes'!$A$9:$BN$9,1),FALSE),0)+IFERROR(VLOOKUP($B15,'RA3-Backfilled Pits'!$A$11:$BN$18,MATCH(Summary!AZ$1,'RA3-Backfilled Pits'!$A$9:$BN$9,1),FALSE),0)+IFERROR(VLOOKUP($B15,'RA4-Tracks_Roads'!$A$11:$BN$18,MATCH(Summary!AZ$1,'RA4-Tracks_Roads'!$A$9:$BN$9,1),FALSE),0)+IFERROR(VLOOKUP($B15,'RA5-ROM'!$A$11:$BN$18,MATCH(Summary!AZ$1,'RA5-ROM'!$A$9:$BN$9,1),FALSE),0)+IFERROR(VLOOKUP($B15,'RA6-CHPP'!$A$11:$BN$18,MATCH(Summary!AZ$1,'RA6-CHPP'!$A$9:$BN$9,1),FALSE),0)+IFERROR(VLOOKUP($B15,'RA7-Mine Infrastructure Area'!$A$11:$BN$18,MATCH(Summary!AZ$1,'RA7-Mine Infrastructure Area'!$A$9:$BN$9,1),FALSE),0)+IFERROR(VLOOKUP($B15,'RA8-Water Management Structures'!$A$11:$BN$18,MATCH(Summary!AZ$1,'RA8-Water Management Structures'!$A$9:$BN$9,1),FALSE),0)+IFERROR(VLOOKUP($B15,'RA9-Codisposal Upper'!$A$11:$BN$18,MATCH(Summary!AZ$1,'RA9-Codisposal Upper'!$A$9:$BN$9,1),FALSE),0)+IFERROR(VLOOKUP($B15,'RA10-Codisposal Slopes'!$A$11:$BN$18,MATCH(Summary!AZ$1,'RA10-Codisposal Slopes'!$A$9:$BN$9,1),FALSE),0)+IFERROR(VLOOKUP($B15,'IA1-Final Void inc Ramps'!$A$11:$BN$18,MATCH(Summary!AZ$1,'IA1-Final Void inc Ramps'!$A$9:$BN$9,1),FALSE),0)</f>
        <v>65.300000000000011</v>
      </c>
      <c r="BA15" s="51">
        <f>IFERROR(VLOOKUP($B15,'RA1- Elevated Dumps Upper'!$A$11:$BN$18,MATCH(Summary!BA$1,'RA1- Elevated Dumps Upper'!$A$9:$BN$9,1),FALSE),0)+IFERROR(VLOOKUP($B15,'RA2-Elevated Dumps Slopes'!$A$11:$BN$18,MATCH(Summary!BA$1,'RA2-Elevated Dumps Slopes'!$A$9:$BN$9,1),FALSE),0)+IFERROR(VLOOKUP($B15,'RA3-Backfilled Pits'!$A$11:$BN$18,MATCH(Summary!BA$1,'RA3-Backfilled Pits'!$A$9:$BN$9,1),FALSE),0)+IFERROR(VLOOKUP($B15,'RA4-Tracks_Roads'!$A$11:$BN$18,MATCH(Summary!BA$1,'RA4-Tracks_Roads'!$A$9:$BN$9,1),FALSE),0)+IFERROR(VLOOKUP($B15,'RA5-ROM'!$A$11:$BN$18,MATCH(Summary!BA$1,'RA5-ROM'!$A$9:$BN$9,1),FALSE),0)+IFERROR(VLOOKUP($B15,'RA6-CHPP'!$A$11:$BN$18,MATCH(Summary!BA$1,'RA6-CHPP'!$A$9:$BN$9,1),FALSE),0)+IFERROR(VLOOKUP($B15,'RA7-Mine Infrastructure Area'!$A$11:$BN$18,MATCH(Summary!BA$1,'RA7-Mine Infrastructure Area'!$A$9:$BN$9,1),FALSE),0)+IFERROR(VLOOKUP($B15,'RA8-Water Management Structures'!$A$11:$BN$18,MATCH(Summary!BA$1,'RA8-Water Management Structures'!$A$9:$BN$9,1),FALSE),0)+IFERROR(VLOOKUP($B15,'RA9-Codisposal Upper'!$A$11:$BN$18,MATCH(Summary!BA$1,'RA9-Codisposal Upper'!$A$9:$BN$9,1),FALSE),0)+IFERROR(VLOOKUP($B15,'RA10-Codisposal Slopes'!$A$11:$BN$18,MATCH(Summary!BA$1,'RA10-Codisposal Slopes'!$A$9:$BN$9,1),FALSE),0)+IFERROR(VLOOKUP($B15,'IA1-Final Void inc Ramps'!$A$11:$BN$18,MATCH(Summary!BA$1,'IA1-Final Void inc Ramps'!$A$9:$BN$9,1),FALSE),0)</f>
        <v>65.300000000000011</v>
      </c>
      <c r="BB15" s="51">
        <f>IFERROR(VLOOKUP($B15,'RA1- Elevated Dumps Upper'!$A$11:$BN$18,MATCH(Summary!BB$1,'RA1- Elevated Dumps Upper'!$A$9:$BN$9,1),FALSE),0)+IFERROR(VLOOKUP($B15,'RA2-Elevated Dumps Slopes'!$A$11:$BN$18,MATCH(Summary!BB$1,'RA2-Elevated Dumps Slopes'!$A$9:$BN$9,1),FALSE),0)+IFERROR(VLOOKUP($B15,'RA3-Backfilled Pits'!$A$11:$BN$18,MATCH(Summary!BB$1,'RA3-Backfilled Pits'!$A$9:$BN$9,1),FALSE),0)+IFERROR(VLOOKUP($B15,'RA4-Tracks_Roads'!$A$11:$BN$18,MATCH(Summary!BB$1,'RA4-Tracks_Roads'!$A$9:$BN$9,1),FALSE),0)+IFERROR(VLOOKUP($B15,'RA5-ROM'!$A$11:$BN$18,MATCH(Summary!BB$1,'RA5-ROM'!$A$9:$BN$9,1),FALSE),0)+IFERROR(VLOOKUP($B15,'RA6-CHPP'!$A$11:$BN$18,MATCH(Summary!BB$1,'RA6-CHPP'!$A$9:$BN$9,1),FALSE),0)+IFERROR(VLOOKUP($B15,'RA7-Mine Infrastructure Area'!$A$11:$BN$18,MATCH(Summary!BB$1,'RA7-Mine Infrastructure Area'!$A$9:$BN$9,1),FALSE),0)+IFERROR(VLOOKUP($B15,'RA8-Water Management Structures'!$A$11:$BN$18,MATCH(Summary!BB$1,'RA8-Water Management Structures'!$A$9:$BN$9,1),FALSE),0)+IFERROR(VLOOKUP($B15,'RA9-Codisposal Upper'!$A$11:$BN$18,MATCH(Summary!BB$1,'RA9-Codisposal Upper'!$A$9:$BN$9,1),FALSE),0)+IFERROR(VLOOKUP($B15,'RA10-Codisposal Slopes'!$A$11:$BN$18,MATCH(Summary!BB$1,'RA10-Codisposal Slopes'!$A$9:$BN$9,1),FALSE),0)+IFERROR(VLOOKUP($B15,'IA1-Final Void inc Ramps'!$A$11:$BN$18,MATCH(Summary!BB$1,'IA1-Final Void inc Ramps'!$A$9:$BN$9,1),FALSE),0)</f>
        <v>65.300000000000011</v>
      </c>
      <c r="BC15" s="51">
        <f>IFERROR(VLOOKUP($B15,'RA1- Elevated Dumps Upper'!$A$11:$BN$18,MATCH(Summary!BC$1,'RA1- Elevated Dumps Upper'!$A$9:$BN$9,1),FALSE),0)+IFERROR(VLOOKUP($B15,'RA2-Elevated Dumps Slopes'!$A$11:$BN$18,MATCH(Summary!BC$1,'RA2-Elevated Dumps Slopes'!$A$9:$BN$9,1),FALSE),0)+IFERROR(VLOOKUP($B15,'RA3-Backfilled Pits'!$A$11:$BN$18,MATCH(Summary!BC$1,'RA3-Backfilled Pits'!$A$9:$BN$9,1),FALSE),0)+IFERROR(VLOOKUP($B15,'RA4-Tracks_Roads'!$A$11:$BN$18,MATCH(Summary!BC$1,'RA4-Tracks_Roads'!$A$9:$BN$9,1),FALSE),0)+IFERROR(VLOOKUP($B15,'RA5-ROM'!$A$11:$BN$18,MATCH(Summary!BC$1,'RA5-ROM'!$A$9:$BN$9,1),FALSE),0)+IFERROR(VLOOKUP($B15,'RA6-CHPP'!$A$11:$BN$18,MATCH(Summary!BC$1,'RA6-CHPP'!$A$9:$BN$9,1),FALSE),0)+IFERROR(VLOOKUP($B15,'RA7-Mine Infrastructure Area'!$A$11:$BN$18,MATCH(Summary!BC$1,'RA7-Mine Infrastructure Area'!$A$9:$BN$9,1),FALSE),0)+IFERROR(VLOOKUP($B15,'RA8-Water Management Structures'!$A$11:$BN$18,MATCH(Summary!BC$1,'RA8-Water Management Structures'!$A$9:$BN$9,1),FALSE),0)+IFERROR(VLOOKUP($B15,'RA9-Codisposal Upper'!$A$11:$BN$18,MATCH(Summary!BC$1,'RA9-Codisposal Upper'!$A$9:$BN$9,1),FALSE),0)+IFERROR(VLOOKUP($B15,'RA10-Codisposal Slopes'!$A$11:$BN$18,MATCH(Summary!BC$1,'RA10-Codisposal Slopes'!$A$9:$BN$9,1),FALSE),0)+IFERROR(VLOOKUP($B15,'IA1-Final Void inc Ramps'!$A$11:$BN$18,MATCH(Summary!BC$1,'IA1-Final Void inc Ramps'!$A$9:$BN$9,1),FALSE),0)</f>
        <v>65.300000000000011</v>
      </c>
      <c r="BD15" s="51">
        <f>IFERROR(VLOOKUP($B15,'RA1- Elevated Dumps Upper'!$A$11:$BN$18,MATCH(Summary!BD$1,'RA1- Elevated Dumps Upper'!$A$9:$BN$9,1),FALSE),0)+IFERROR(VLOOKUP($B15,'RA2-Elevated Dumps Slopes'!$A$11:$BN$18,MATCH(Summary!BD$1,'RA2-Elevated Dumps Slopes'!$A$9:$BN$9,1),FALSE),0)+IFERROR(VLOOKUP($B15,'RA3-Backfilled Pits'!$A$11:$BN$18,MATCH(Summary!BD$1,'RA3-Backfilled Pits'!$A$9:$BN$9,1),FALSE),0)+IFERROR(VLOOKUP($B15,'RA4-Tracks_Roads'!$A$11:$BN$18,MATCH(Summary!BD$1,'RA4-Tracks_Roads'!$A$9:$BN$9,1),FALSE),0)+IFERROR(VLOOKUP($B15,'RA5-ROM'!$A$11:$BN$18,MATCH(Summary!BD$1,'RA5-ROM'!$A$9:$BN$9,1),FALSE),0)+IFERROR(VLOOKUP($B15,'RA6-CHPP'!$A$11:$BN$18,MATCH(Summary!BD$1,'RA6-CHPP'!$A$9:$BN$9,1),FALSE),0)+IFERROR(VLOOKUP($B15,'RA7-Mine Infrastructure Area'!$A$11:$BN$18,MATCH(Summary!BD$1,'RA7-Mine Infrastructure Area'!$A$9:$BN$9,1),FALSE),0)+IFERROR(VLOOKUP($B15,'RA8-Water Management Structures'!$A$11:$BN$18,MATCH(Summary!BD$1,'RA8-Water Management Structures'!$A$9:$BN$9,1),FALSE),0)+IFERROR(VLOOKUP($B15,'RA9-Codisposal Upper'!$A$11:$BN$18,MATCH(Summary!BD$1,'RA9-Codisposal Upper'!$A$9:$BN$9,1),FALSE),0)+IFERROR(VLOOKUP($B15,'RA10-Codisposal Slopes'!$A$11:$BN$18,MATCH(Summary!BD$1,'RA10-Codisposal Slopes'!$A$9:$BN$9,1),FALSE),0)+IFERROR(VLOOKUP($B15,'IA1-Final Void inc Ramps'!$A$11:$BN$18,MATCH(Summary!BD$1,'IA1-Final Void inc Ramps'!$A$9:$BN$9,1),FALSE),0)</f>
        <v>65.300000000000011</v>
      </c>
      <c r="BE15" s="51">
        <f>IFERROR(VLOOKUP($B15,'RA1- Elevated Dumps Upper'!$A$11:$BN$18,MATCH(Summary!BE$1,'RA1- Elevated Dumps Upper'!$A$9:$BN$9,1),FALSE),0)+IFERROR(VLOOKUP($B15,'RA2-Elevated Dumps Slopes'!$A$11:$BN$18,MATCH(Summary!BE$1,'RA2-Elevated Dumps Slopes'!$A$9:$BN$9,1),FALSE),0)+IFERROR(VLOOKUP($B15,'RA3-Backfilled Pits'!$A$11:$BN$18,MATCH(Summary!BE$1,'RA3-Backfilled Pits'!$A$9:$BN$9,1),FALSE),0)+IFERROR(VLOOKUP($B15,'RA4-Tracks_Roads'!$A$11:$BN$18,MATCH(Summary!BE$1,'RA4-Tracks_Roads'!$A$9:$BN$9,1),FALSE),0)+IFERROR(VLOOKUP($B15,'RA5-ROM'!$A$11:$BN$18,MATCH(Summary!BE$1,'RA5-ROM'!$A$9:$BN$9,1),FALSE),0)+IFERROR(VLOOKUP($B15,'RA6-CHPP'!$A$11:$BN$18,MATCH(Summary!BE$1,'RA6-CHPP'!$A$9:$BN$9,1),FALSE),0)+IFERROR(VLOOKUP($B15,'RA7-Mine Infrastructure Area'!$A$11:$BN$18,MATCH(Summary!BE$1,'RA7-Mine Infrastructure Area'!$A$9:$BN$9,1),FALSE),0)+IFERROR(VLOOKUP($B15,'RA8-Water Management Structures'!$A$11:$BN$18,MATCH(Summary!BE$1,'RA8-Water Management Structures'!$A$9:$BN$9,1),FALSE),0)+IFERROR(VLOOKUP($B15,'RA9-Codisposal Upper'!$A$11:$BN$18,MATCH(Summary!BE$1,'RA9-Codisposal Upper'!$A$9:$BN$9,1),FALSE),0)+IFERROR(VLOOKUP($B15,'RA10-Codisposal Slopes'!$A$11:$BN$18,MATCH(Summary!BE$1,'RA10-Codisposal Slopes'!$A$9:$BN$9,1),FALSE),0)+IFERROR(VLOOKUP($B15,'IA1-Final Void inc Ramps'!$A$11:$BN$18,MATCH(Summary!BE$1,'IA1-Final Void inc Ramps'!$A$9:$BN$9,1),FALSE),0)</f>
        <v>65.300000000000011</v>
      </c>
      <c r="BF15" s="51">
        <f>IFERROR(VLOOKUP($B15,'RA1- Elevated Dumps Upper'!$A$11:$BN$18,MATCH(Summary!BF$1,'RA1- Elevated Dumps Upper'!$A$9:$BN$9,1),FALSE),0)+IFERROR(VLOOKUP($B15,'RA2-Elevated Dumps Slopes'!$A$11:$BN$18,MATCH(Summary!BF$1,'RA2-Elevated Dumps Slopes'!$A$9:$BN$9,1),FALSE),0)+IFERROR(VLOOKUP($B15,'RA3-Backfilled Pits'!$A$11:$BN$18,MATCH(Summary!BF$1,'RA3-Backfilled Pits'!$A$9:$BN$9,1),FALSE),0)+IFERROR(VLOOKUP($B15,'RA4-Tracks_Roads'!$A$11:$BN$18,MATCH(Summary!BF$1,'RA4-Tracks_Roads'!$A$9:$BN$9,1),FALSE),0)+IFERROR(VLOOKUP($B15,'RA5-ROM'!$A$11:$BN$18,MATCH(Summary!BF$1,'RA5-ROM'!$A$9:$BN$9,1),FALSE),0)+IFERROR(VLOOKUP($B15,'RA6-CHPP'!$A$11:$BN$18,MATCH(Summary!BF$1,'RA6-CHPP'!$A$9:$BN$9,1),FALSE),0)+IFERROR(VLOOKUP($B15,'RA7-Mine Infrastructure Area'!$A$11:$BN$18,MATCH(Summary!BF$1,'RA7-Mine Infrastructure Area'!$A$9:$BN$9,1),FALSE),0)+IFERROR(VLOOKUP($B15,'RA8-Water Management Structures'!$A$11:$BN$18,MATCH(Summary!BF$1,'RA8-Water Management Structures'!$A$9:$BN$9,1),FALSE),0)+IFERROR(VLOOKUP($B15,'RA9-Codisposal Upper'!$A$11:$BN$18,MATCH(Summary!BF$1,'RA9-Codisposal Upper'!$A$9:$BN$9,1),FALSE),0)+IFERROR(VLOOKUP($B15,'RA10-Codisposal Slopes'!$A$11:$BN$18,MATCH(Summary!BF$1,'RA10-Codisposal Slopes'!$A$9:$BN$9,1),FALSE),0)+IFERROR(VLOOKUP($B15,'IA1-Final Void inc Ramps'!$A$11:$BN$18,MATCH(Summary!BF$1,'IA1-Final Void inc Ramps'!$A$9:$BN$9,1),FALSE),0)</f>
        <v>65.300000000000011</v>
      </c>
      <c r="BG15" s="51">
        <f>IFERROR(VLOOKUP($B15,'RA1- Elevated Dumps Upper'!$A$11:$BN$18,MATCH(Summary!BG$1,'RA1- Elevated Dumps Upper'!$A$9:$BN$9,1),FALSE),0)+IFERROR(VLOOKUP($B15,'RA2-Elevated Dumps Slopes'!$A$11:$BN$18,MATCH(Summary!BG$1,'RA2-Elevated Dumps Slopes'!$A$9:$BN$9,1),FALSE),0)+IFERROR(VLOOKUP($B15,'RA3-Backfilled Pits'!$A$11:$BN$18,MATCH(Summary!BG$1,'RA3-Backfilled Pits'!$A$9:$BN$9,1),FALSE),0)+IFERROR(VLOOKUP($B15,'RA4-Tracks_Roads'!$A$11:$BN$18,MATCH(Summary!BG$1,'RA4-Tracks_Roads'!$A$9:$BN$9,1),FALSE),0)+IFERROR(VLOOKUP($B15,'RA5-ROM'!$A$11:$BN$18,MATCH(Summary!BG$1,'RA5-ROM'!$A$9:$BN$9,1),FALSE),0)+IFERROR(VLOOKUP($B15,'RA6-CHPP'!$A$11:$BN$18,MATCH(Summary!BG$1,'RA6-CHPP'!$A$9:$BN$9,1),FALSE),0)+IFERROR(VLOOKUP($B15,'RA7-Mine Infrastructure Area'!$A$11:$BN$18,MATCH(Summary!BG$1,'RA7-Mine Infrastructure Area'!$A$9:$BN$9,1),FALSE),0)+IFERROR(VLOOKUP($B15,'RA8-Water Management Structures'!$A$11:$BN$18,MATCH(Summary!BG$1,'RA8-Water Management Structures'!$A$9:$BN$9,1),FALSE),0)+IFERROR(VLOOKUP($B15,'RA9-Codisposal Upper'!$A$11:$BN$18,MATCH(Summary!BG$1,'RA9-Codisposal Upper'!$A$9:$BN$9,1),FALSE),0)+IFERROR(VLOOKUP($B15,'RA10-Codisposal Slopes'!$A$11:$BN$18,MATCH(Summary!BG$1,'RA10-Codisposal Slopes'!$A$9:$BN$9,1),FALSE),0)+IFERROR(VLOOKUP($B15,'IA1-Final Void inc Ramps'!$A$11:$BN$18,MATCH(Summary!BG$1,'IA1-Final Void inc Ramps'!$A$9:$BN$9,1),FALSE),0)</f>
        <v>65.300000000000011</v>
      </c>
      <c r="BH15" s="51">
        <f>IFERROR(VLOOKUP($B15,'RA1- Elevated Dumps Upper'!$A$11:$BN$18,MATCH(Summary!BH$1,'RA1- Elevated Dumps Upper'!$A$9:$BN$9,1),FALSE),0)+IFERROR(VLOOKUP($B15,'RA2-Elevated Dumps Slopes'!$A$11:$BN$18,MATCH(Summary!BH$1,'RA2-Elevated Dumps Slopes'!$A$9:$BN$9,1),FALSE),0)+IFERROR(VLOOKUP($B15,'RA3-Backfilled Pits'!$A$11:$BN$18,MATCH(Summary!BH$1,'RA3-Backfilled Pits'!$A$9:$BN$9,1),FALSE),0)+IFERROR(VLOOKUP($B15,'RA4-Tracks_Roads'!$A$11:$BN$18,MATCH(Summary!BH$1,'RA4-Tracks_Roads'!$A$9:$BN$9,1),FALSE),0)+IFERROR(VLOOKUP($B15,'RA5-ROM'!$A$11:$BN$18,MATCH(Summary!BH$1,'RA5-ROM'!$A$9:$BN$9,1),FALSE),0)+IFERROR(VLOOKUP($B15,'RA6-CHPP'!$A$11:$BN$18,MATCH(Summary!BH$1,'RA6-CHPP'!$A$9:$BN$9,1),FALSE),0)+IFERROR(VLOOKUP($B15,'RA7-Mine Infrastructure Area'!$A$11:$BN$18,MATCH(Summary!BH$1,'RA7-Mine Infrastructure Area'!$A$9:$BN$9,1),FALSE),0)+IFERROR(VLOOKUP($B15,'RA8-Water Management Structures'!$A$11:$BN$18,MATCH(Summary!BH$1,'RA8-Water Management Structures'!$A$9:$BN$9,1),FALSE),0)+IFERROR(VLOOKUP($B15,'RA9-Codisposal Upper'!$A$11:$BN$18,MATCH(Summary!BH$1,'RA9-Codisposal Upper'!$A$9:$BN$9,1),FALSE),0)+IFERROR(VLOOKUP($B15,'RA10-Codisposal Slopes'!$A$11:$BN$18,MATCH(Summary!BH$1,'RA10-Codisposal Slopes'!$A$9:$BN$9,1),FALSE),0)+IFERROR(VLOOKUP($B15,'IA1-Final Void inc Ramps'!$A$11:$BN$18,MATCH(Summary!BH$1,'IA1-Final Void inc Ramps'!$A$9:$BN$9,1),FALSE),0)</f>
        <v>65.300000000000011</v>
      </c>
      <c r="BI15" s="51">
        <f>IFERROR(VLOOKUP($B15,'RA1- Elevated Dumps Upper'!$A$11:$BN$18,MATCH(Summary!BI$1,'RA1- Elevated Dumps Upper'!$A$9:$BN$9,1),FALSE),0)+IFERROR(VLOOKUP($B15,'RA2-Elevated Dumps Slopes'!$A$11:$BN$18,MATCH(Summary!BI$1,'RA2-Elevated Dumps Slopes'!$A$9:$BN$9,1),FALSE),0)+IFERROR(VLOOKUP($B15,'RA3-Backfilled Pits'!$A$11:$BN$18,MATCH(Summary!BI$1,'RA3-Backfilled Pits'!$A$9:$BN$9,1),FALSE),0)+IFERROR(VLOOKUP($B15,'RA4-Tracks_Roads'!$A$11:$BN$18,MATCH(Summary!BI$1,'RA4-Tracks_Roads'!$A$9:$BN$9,1),FALSE),0)+IFERROR(VLOOKUP($B15,'RA5-ROM'!$A$11:$BN$18,MATCH(Summary!BI$1,'RA5-ROM'!$A$9:$BN$9,1),FALSE),0)+IFERROR(VLOOKUP($B15,'RA6-CHPP'!$A$11:$BN$18,MATCH(Summary!BI$1,'RA6-CHPP'!$A$9:$BN$9,1),FALSE),0)+IFERROR(VLOOKUP($B15,'RA7-Mine Infrastructure Area'!$A$11:$BN$18,MATCH(Summary!BI$1,'RA7-Mine Infrastructure Area'!$A$9:$BN$9,1),FALSE),0)+IFERROR(VLOOKUP($B15,'RA8-Water Management Structures'!$A$11:$BN$18,MATCH(Summary!BI$1,'RA8-Water Management Structures'!$A$9:$BN$9,1),FALSE),0)+IFERROR(VLOOKUP($B15,'RA9-Codisposal Upper'!$A$11:$BN$18,MATCH(Summary!BI$1,'RA9-Codisposal Upper'!$A$9:$BN$9,1),FALSE),0)+IFERROR(VLOOKUP($B15,'RA10-Codisposal Slopes'!$A$11:$BN$18,MATCH(Summary!BI$1,'RA10-Codisposal Slopes'!$A$9:$BN$9,1),FALSE),0)+IFERROR(VLOOKUP($B15,'IA1-Final Void inc Ramps'!$A$11:$BN$18,MATCH(Summary!BI$1,'IA1-Final Void inc Ramps'!$A$9:$BN$9,1),FALSE),0)</f>
        <v>65.300000000000011</v>
      </c>
      <c r="BJ15" s="51">
        <f>IFERROR(VLOOKUP($B15,'RA1- Elevated Dumps Upper'!$A$11:$BN$18,MATCH(Summary!BJ$1,'RA1- Elevated Dumps Upper'!$A$9:$BN$9,1),FALSE),0)+IFERROR(VLOOKUP($B15,'RA2-Elevated Dumps Slopes'!$A$11:$BN$18,MATCH(Summary!BJ$1,'RA2-Elevated Dumps Slopes'!$A$9:$BN$9,1),FALSE),0)+IFERROR(VLOOKUP($B15,'RA3-Backfilled Pits'!$A$11:$BN$18,MATCH(Summary!BJ$1,'RA3-Backfilled Pits'!$A$9:$BN$9,1),FALSE),0)+IFERROR(VLOOKUP($B15,'RA4-Tracks_Roads'!$A$11:$BN$18,MATCH(Summary!BJ$1,'RA4-Tracks_Roads'!$A$9:$BN$9,1),FALSE),0)+IFERROR(VLOOKUP($B15,'RA5-ROM'!$A$11:$BN$18,MATCH(Summary!BJ$1,'RA5-ROM'!$A$9:$BN$9,1),FALSE),0)+IFERROR(VLOOKUP($B15,'RA6-CHPP'!$A$11:$BN$18,MATCH(Summary!BJ$1,'RA6-CHPP'!$A$9:$BN$9,1),FALSE),0)+IFERROR(VLOOKUP($B15,'RA7-Mine Infrastructure Area'!$A$11:$BN$18,MATCH(Summary!BJ$1,'RA7-Mine Infrastructure Area'!$A$9:$BN$9,1),FALSE),0)+IFERROR(VLOOKUP($B15,'RA8-Water Management Structures'!$A$11:$BN$18,MATCH(Summary!BJ$1,'RA8-Water Management Structures'!$A$9:$BN$9,1),FALSE),0)+IFERROR(VLOOKUP($B15,'RA9-Codisposal Upper'!$A$11:$BN$18,MATCH(Summary!BJ$1,'RA9-Codisposal Upper'!$A$9:$BN$9,1),FALSE),0)+IFERROR(VLOOKUP($B15,'RA10-Codisposal Slopes'!$A$11:$BN$18,MATCH(Summary!BJ$1,'RA10-Codisposal Slopes'!$A$9:$BN$9,1),FALSE),0)+IFERROR(VLOOKUP($B15,'IA1-Final Void inc Ramps'!$A$11:$BN$18,MATCH(Summary!BJ$1,'IA1-Final Void inc Ramps'!$A$9:$BN$9,1),FALSE),0)</f>
        <v>65.300000000000011</v>
      </c>
      <c r="BK15" s="51">
        <f>IFERROR(VLOOKUP($B15,'RA1- Elevated Dumps Upper'!$A$11:$BN$18,MATCH(Summary!BK$1,'RA1- Elevated Dumps Upper'!$A$9:$BN$9,1),FALSE),0)+IFERROR(VLOOKUP($B15,'RA2-Elevated Dumps Slopes'!$A$11:$BN$18,MATCH(Summary!BK$1,'RA2-Elevated Dumps Slopes'!$A$9:$BN$9,1),FALSE),0)+IFERROR(VLOOKUP($B15,'RA3-Backfilled Pits'!$A$11:$BN$18,MATCH(Summary!BK$1,'RA3-Backfilled Pits'!$A$9:$BN$9,1),FALSE),0)+IFERROR(VLOOKUP($B15,'RA4-Tracks_Roads'!$A$11:$BN$18,MATCH(Summary!BK$1,'RA4-Tracks_Roads'!$A$9:$BN$9,1),FALSE),0)+IFERROR(VLOOKUP($B15,'RA5-ROM'!$A$11:$BN$18,MATCH(Summary!BK$1,'RA5-ROM'!$A$9:$BN$9,1),FALSE),0)+IFERROR(VLOOKUP($B15,'RA6-CHPP'!$A$11:$BN$18,MATCH(Summary!BK$1,'RA6-CHPP'!$A$9:$BN$9,1),FALSE),0)+IFERROR(VLOOKUP($B15,'RA7-Mine Infrastructure Area'!$A$11:$BN$18,MATCH(Summary!BK$1,'RA7-Mine Infrastructure Area'!$A$9:$BN$9,1),FALSE),0)+IFERROR(VLOOKUP($B15,'RA8-Water Management Structures'!$A$11:$BN$18,MATCH(Summary!BK$1,'RA8-Water Management Structures'!$A$9:$BN$9,1),FALSE),0)+IFERROR(VLOOKUP($B15,'RA9-Codisposal Upper'!$A$11:$BN$18,MATCH(Summary!BK$1,'RA9-Codisposal Upper'!$A$9:$BN$9,1),FALSE),0)+IFERROR(VLOOKUP($B15,'RA10-Codisposal Slopes'!$A$11:$BN$18,MATCH(Summary!BK$1,'RA10-Codisposal Slopes'!$A$9:$BN$9,1),FALSE),0)+IFERROR(VLOOKUP($B15,'IA1-Final Void inc Ramps'!$A$11:$BN$18,MATCH(Summary!BK$1,'IA1-Final Void inc Ramps'!$A$9:$BN$9,1),FALSE),0)</f>
        <v>65.300000000000011</v>
      </c>
      <c r="BL15" s="51">
        <f>IFERROR(VLOOKUP($B15,'RA1- Elevated Dumps Upper'!$A$11:$BN$18,MATCH(Summary!BL$1,'RA1- Elevated Dumps Upper'!$A$9:$BN$9,1),FALSE),0)+IFERROR(VLOOKUP($B15,'RA2-Elevated Dumps Slopes'!$A$11:$BN$18,MATCH(Summary!BL$1,'RA2-Elevated Dumps Slopes'!$A$9:$BN$9,1),FALSE),0)+IFERROR(VLOOKUP($B15,'RA3-Backfilled Pits'!$A$11:$BN$18,MATCH(Summary!BL$1,'RA3-Backfilled Pits'!$A$9:$BN$9,1),FALSE),0)+IFERROR(VLOOKUP($B15,'RA4-Tracks_Roads'!$A$11:$BN$18,MATCH(Summary!BL$1,'RA4-Tracks_Roads'!$A$9:$BN$9,1),FALSE),0)+IFERROR(VLOOKUP($B15,'RA5-ROM'!$A$11:$BN$18,MATCH(Summary!BL$1,'RA5-ROM'!$A$9:$BN$9,1),FALSE),0)+IFERROR(VLOOKUP($B15,'RA6-CHPP'!$A$11:$BN$18,MATCH(Summary!BL$1,'RA6-CHPP'!$A$9:$BN$9,1),FALSE),0)+IFERROR(VLOOKUP($B15,'RA7-Mine Infrastructure Area'!$A$11:$BN$18,MATCH(Summary!BL$1,'RA7-Mine Infrastructure Area'!$A$9:$BN$9,1),FALSE),0)+IFERROR(VLOOKUP($B15,'RA8-Water Management Structures'!$A$11:$BN$18,MATCH(Summary!BL$1,'RA8-Water Management Structures'!$A$9:$BN$9,1),FALSE),0)+IFERROR(VLOOKUP($B15,'RA9-Codisposal Upper'!$A$11:$BN$18,MATCH(Summary!BL$1,'RA9-Codisposal Upper'!$A$9:$BN$9,1),FALSE),0)+IFERROR(VLOOKUP($B15,'RA10-Codisposal Slopes'!$A$11:$BN$18,MATCH(Summary!BL$1,'RA10-Codisposal Slopes'!$A$9:$BN$9,1),FALSE),0)+IFERROR(VLOOKUP($B15,'IA1-Final Void inc Ramps'!$A$11:$BN$18,MATCH(Summary!BL$1,'IA1-Final Void inc Ramps'!$A$9:$BN$9,1),FALSE),0)</f>
        <v>65.300000000000011</v>
      </c>
      <c r="BM15" s="51">
        <f>IFERROR(VLOOKUP($B15,'RA1- Elevated Dumps Upper'!$A$11:$BN$18,MATCH(Summary!BM$1,'RA1- Elevated Dumps Upper'!$A$9:$BN$9,1),FALSE),0)+IFERROR(VLOOKUP($B15,'RA2-Elevated Dumps Slopes'!$A$11:$BN$18,MATCH(Summary!BM$1,'RA2-Elevated Dumps Slopes'!$A$9:$BN$9,1),FALSE),0)+IFERROR(VLOOKUP($B15,'RA3-Backfilled Pits'!$A$11:$BN$18,MATCH(Summary!BM$1,'RA3-Backfilled Pits'!$A$9:$BN$9,1),FALSE),0)+IFERROR(VLOOKUP($B15,'RA4-Tracks_Roads'!$A$11:$BN$18,MATCH(Summary!BM$1,'RA4-Tracks_Roads'!$A$9:$BN$9,1),FALSE),0)+IFERROR(VLOOKUP($B15,'RA5-ROM'!$A$11:$BN$18,MATCH(Summary!BM$1,'RA5-ROM'!$A$9:$BN$9,1),FALSE),0)+IFERROR(VLOOKUP($B15,'RA6-CHPP'!$A$11:$BN$18,MATCH(Summary!BM$1,'RA6-CHPP'!$A$9:$BN$9,1),FALSE),0)+IFERROR(VLOOKUP($B15,'RA7-Mine Infrastructure Area'!$A$11:$BN$18,MATCH(Summary!BM$1,'RA7-Mine Infrastructure Area'!$A$9:$BN$9,1),FALSE),0)+IFERROR(VLOOKUP($B15,'RA8-Water Management Structures'!$A$11:$BN$18,MATCH(Summary!BM$1,'RA8-Water Management Structures'!$A$9:$BN$9,1),FALSE),0)+IFERROR(VLOOKUP($B15,'RA9-Codisposal Upper'!$A$11:$BN$18,MATCH(Summary!BM$1,'RA9-Codisposal Upper'!$A$9:$BN$9,1),FALSE),0)+IFERROR(VLOOKUP($B15,'RA10-Codisposal Slopes'!$A$11:$BN$18,MATCH(Summary!BM$1,'RA10-Codisposal Slopes'!$A$9:$BN$9,1),FALSE),0)+IFERROR(VLOOKUP($B15,'IA1-Final Void inc Ramps'!$A$11:$BN$18,MATCH(Summary!BM$1,'IA1-Final Void inc Ramps'!$A$9:$BN$9,1),FALSE),0)</f>
        <v>65.300000000000011</v>
      </c>
      <c r="BN15" s="51">
        <f>IFERROR(VLOOKUP($B15,'RA1- Elevated Dumps Upper'!$A$11:$BN$18,MATCH(Summary!BN$1,'RA1- Elevated Dumps Upper'!$A$9:$BN$9,1),FALSE),0)+IFERROR(VLOOKUP($B15,'RA2-Elevated Dumps Slopes'!$A$11:$BN$18,MATCH(Summary!BN$1,'RA2-Elevated Dumps Slopes'!$A$9:$BN$9,1),FALSE),0)+IFERROR(VLOOKUP($B15,'RA3-Backfilled Pits'!$A$11:$BN$18,MATCH(Summary!BN$1,'RA3-Backfilled Pits'!$A$9:$BN$9,1),FALSE),0)+IFERROR(VLOOKUP($B15,'RA4-Tracks_Roads'!$A$11:$BN$18,MATCH(Summary!BN$1,'RA4-Tracks_Roads'!$A$9:$BN$9,1),FALSE),0)+IFERROR(VLOOKUP($B15,'RA5-ROM'!$A$11:$BN$18,MATCH(Summary!BN$1,'RA5-ROM'!$A$9:$BN$9,1),FALSE),0)+IFERROR(VLOOKUP($B15,'RA6-CHPP'!$A$11:$BN$18,MATCH(Summary!BN$1,'RA6-CHPP'!$A$9:$BN$9,1),FALSE),0)+IFERROR(VLOOKUP($B15,'RA7-Mine Infrastructure Area'!$A$11:$BN$18,MATCH(Summary!BN$1,'RA7-Mine Infrastructure Area'!$A$9:$BN$9,1),FALSE),0)+IFERROR(VLOOKUP($B15,'RA8-Water Management Structures'!$A$11:$BN$18,MATCH(Summary!BN$1,'RA8-Water Management Structures'!$A$9:$BN$9,1),FALSE),0)+IFERROR(VLOOKUP($B15,'RA9-Codisposal Upper'!$A$11:$BN$18,MATCH(Summary!BN$1,'RA9-Codisposal Upper'!$A$9:$BN$9,1),FALSE),0)+IFERROR(VLOOKUP($B15,'RA10-Codisposal Slopes'!$A$11:$BN$18,MATCH(Summary!BN$1,'RA10-Codisposal Slopes'!$A$9:$BN$9,1),FALSE),0)+IFERROR(VLOOKUP($B15,'IA1-Final Void inc Ramps'!$A$11:$BN$18,MATCH(Summary!BN$1,'IA1-Final Void inc Ramps'!$A$9:$BN$9,1),FALSE),0)</f>
        <v>65.300000000000011</v>
      </c>
    </row>
    <row r="16" spans="1:66" x14ac:dyDescent="0.35">
      <c r="B16" t="s">
        <v>9</v>
      </c>
      <c r="D16" s="51">
        <f>IFERROR(VLOOKUP($B16,'RA1- Elevated Dumps Upper'!$A$11:$BN$18,MATCH(Summary!D$1,'RA1- Elevated Dumps Upper'!$A$9:$BN$9,1),FALSE),0)+IFERROR(VLOOKUP($B16,'RA2-Elevated Dumps Slopes'!$A$11:$BN$18,MATCH(Summary!D$1,'RA2-Elevated Dumps Slopes'!$A$9:$BN$9,1),FALSE),0)+IFERROR(VLOOKUP($B16,'RA3-Backfilled Pits'!$A$11:$BN$18,MATCH(Summary!D$1,'RA3-Backfilled Pits'!$A$9:$BN$9,1),FALSE),0)+IFERROR(VLOOKUP($B16,'RA4-Tracks_Roads'!$A$11:$BN$18,MATCH(Summary!D$1,'RA4-Tracks_Roads'!$A$9:$BN$9,1),FALSE),0)+IFERROR(VLOOKUP($B16,'RA5-ROM'!$A$11:$BN$18,MATCH(Summary!D$1,'RA5-ROM'!$A$9:$BN$9,1),FALSE),0)+IFERROR(VLOOKUP($B16,'RA6-CHPP'!$A$11:$BN$18,MATCH(Summary!D$1,'RA6-CHPP'!$A$9:$BN$9,1),FALSE),0)+IFERROR(VLOOKUP($B16,'RA7-Mine Infrastructure Area'!$A$11:$BN$18,MATCH(Summary!D$1,'RA7-Mine Infrastructure Area'!$A$9:$BN$9,1),FALSE),0)+IFERROR(VLOOKUP($B16,'RA8-Water Management Structures'!$A$11:$BN$18,MATCH(Summary!D$1,'RA8-Water Management Structures'!$A$9:$BN$9,1),FALSE),0)+IFERROR(VLOOKUP($B16,'RA9-Codisposal Upper'!$A$11:$BN$18,MATCH(Summary!D$1,'RA9-Codisposal Upper'!$A$9:$BN$9,1),FALSE),0)+IFERROR(VLOOKUP($B16,'RA10-Codisposal Slopes'!$A$11:$BN$18,MATCH(Summary!D$1,'RA10-Codisposal Slopes'!$A$9:$BN$9,1),FALSE),0)+IFERROR(VLOOKUP($B16,'IA1-Final Void inc Ramps'!$A$11:$BN$18,MATCH(Summary!D$1,'IA1-Final Void inc Ramps'!$A$9:$BN$9,1),FALSE),0)</f>
        <v>0</v>
      </c>
      <c r="E16" s="51">
        <f>IFERROR(VLOOKUP($B16,'RA1- Elevated Dumps Upper'!$A$11:$BN$18,MATCH(Summary!E$1,'RA1- Elevated Dumps Upper'!$A$9:$BN$9,1),FALSE),0)+IFERROR(VLOOKUP($B16,'RA2-Elevated Dumps Slopes'!$A$11:$BN$18,MATCH(Summary!E$1,'RA2-Elevated Dumps Slopes'!$A$9:$BN$9,1),FALSE),0)+IFERROR(VLOOKUP($B16,'RA3-Backfilled Pits'!$A$11:$BN$18,MATCH(Summary!E$1,'RA3-Backfilled Pits'!$A$9:$BN$9,1),FALSE),0)+IFERROR(VLOOKUP($B16,'RA4-Tracks_Roads'!$A$11:$BN$18,MATCH(Summary!E$1,'RA4-Tracks_Roads'!$A$9:$BN$9,1),FALSE),0)+IFERROR(VLOOKUP($B16,'RA5-ROM'!$A$11:$BN$18,MATCH(Summary!E$1,'RA5-ROM'!$A$9:$BN$9,1),FALSE),0)+IFERROR(VLOOKUP($B16,'RA6-CHPP'!$A$11:$BN$18,MATCH(Summary!E$1,'RA6-CHPP'!$A$9:$BN$9,1),FALSE),0)+IFERROR(VLOOKUP($B16,'RA7-Mine Infrastructure Area'!$A$11:$BN$18,MATCH(Summary!E$1,'RA7-Mine Infrastructure Area'!$A$9:$BN$9,1),FALSE),0)+IFERROR(VLOOKUP($B16,'RA8-Water Management Structures'!$A$11:$BN$18,MATCH(Summary!E$1,'RA8-Water Management Structures'!$A$9:$BN$9,1),FALSE),0)+IFERROR(VLOOKUP($B16,'RA9-Codisposal Upper'!$A$11:$BN$18,MATCH(Summary!E$1,'RA9-Codisposal Upper'!$A$9:$BN$9,1),FALSE),0)+IFERROR(VLOOKUP($B16,'RA10-Codisposal Slopes'!$A$11:$BN$18,MATCH(Summary!E$1,'RA10-Codisposal Slopes'!$A$9:$BN$9,1),FALSE),0)+IFERROR(VLOOKUP($B16,'IA1-Final Void inc Ramps'!$A$11:$BN$18,MATCH(Summary!E$1,'IA1-Final Void inc Ramps'!$A$9:$BN$9,1),FALSE),0)</f>
        <v>0</v>
      </c>
      <c r="F16" s="51">
        <f>IFERROR(VLOOKUP($B16,'RA1- Elevated Dumps Upper'!$A$11:$BN$18,MATCH(Summary!F$1,'RA1- Elevated Dumps Upper'!$A$9:$BN$9,1),FALSE),0)+IFERROR(VLOOKUP($B16,'RA2-Elevated Dumps Slopes'!$A$11:$BN$18,MATCH(Summary!F$1,'RA2-Elevated Dumps Slopes'!$A$9:$BN$9,1),FALSE),0)+IFERROR(VLOOKUP($B16,'RA3-Backfilled Pits'!$A$11:$BN$18,MATCH(Summary!F$1,'RA3-Backfilled Pits'!$A$9:$BN$9,1),FALSE),0)+IFERROR(VLOOKUP($B16,'RA4-Tracks_Roads'!$A$11:$BN$18,MATCH(Summary!F$1,'RA4-Tracks_Roads'!$A$9:$BN$9,1),FALSE),0)+IFERROR(VLOOKUP($B16,'RA5-ROM'!$A$11:$BN$18,MATCH(Summary!F$1,'RA5-ROM'!$A$9:$BN$9,1),FALSE),0)+IFERROR(VLOOKUP($B16,'RA6-CHPP'!$A$11:$BN$18,MATCH(Summary!F$1,'RA6-CHPP'!$A$9:$BN$9,1),FALSE),0)+IFERROR(VLOOKUP($B16,'RA7-Mine Infrastructure Area'!$A$11:$BN$18,MATCH(Summary!F$1,'RA7-Mine Infrastructure Area'!$A$9:$BN$9,1),FALSE),0)+IFERROR(VLOOKUP($B16,'RA8-Water Management Structures'!$A$11:$BN$18,MATCH(Summary!F$1,'RA8-Water Management Structures'!$A$9:$BN$9,1),FALSE),0)+IFERROR(VLOOKUP($B16,'RA9-Codisposal Upper'!$A$11:$BN$18,MATCH(Summary!F$1,'RA9-Codisposal Upper'!$A$9:$BN$9,1),FALSE),0)+IFERROR(VLOOKUP($B16,'RA10-Codisposal Slopes'!$A$11:$BN$18,MATCH(Summary!F$1,'RA10-Codisposal Slopes'!$A$9:$BN$9,1),FALSE),0)+IFERROR(VLOOKUP($B16,'IA1-Final Void inc Ramps'!$A$11:$BN$18,MATCH(Summary!F$1,'IA1-Final Void inc Ramps'!$A$9:$BN$9,1),FALSE),0)</f>
        <v>0</v>
      </c>
      <c r="G16" s="51">
        <f>IFERROR(VLOOKUP($B16,'RA1- Elevated Dumps Upper'!$A$11:$BN$18,MATCH(Summary!G$1,'RA1- Elevated Dumps Upper'!$A$9:$BN$9,1),FALSE),0)+IFERROR(VLOOKUP($B16,'RA2-Elevated Dumps Slopes'!$A$11:$BN$18,MATCH(Summary!G$1,'RA2-Elevated Dumps Slopes'!$A$9:$BN$9,1),FALSE),0)+IFERROR(VLOOKUP($B16,'RA3-Backfilled Pits'!$A$11:$BN$18,MATCH(Summary!G$1,'RA3-Backfilled Pits'!$A$9:$BN$9,1),FALSE),0)+IFERROR(VLOOKUP($B16,'RA4-Tracks_Roads'!$A$11:$BN$18,MATCH(Summary!G$1,'RA4-Tracks_Roads'!$A$9:$BN$9,1),FALSE),0)+IFERROR(VLOOKUP($B16,'RA5-ROM'!$A$11:$BN$18,MATCH(Summary!G$1,'RA5-ROM'!$A$9:$BN$9,1),FALSE),0)+IFERROR(VLOOKUP($B16,'RA6-CHPP'!$A$11:$BN$18,MATCH(Summary!G$1,'RA6-CHPP'!$A$9:$BN$9,1),FALSE),0)+IFERROR(VLOOKUP($B16,'RA7-Mine Infrastructure Area'!$A$11:$BN$18,MATCH(Summary!G$1,'RA7-Mine Infrastructure Area'!$A$9:$BN$9,1),FALSE),0)+IFERROR(VLOOKUP($B16,'RA8-Water Management Structures'!$A$11:$BN$18,MATCH(Summary!G$1,'RA8-Water Management Structures'!$A$9:$BN$9,1),FALSE),0)+IFERROR(VLOOKUP($B16,'RA9-Codisposal Upper'!$A$11:$BN$18,MATCH(Summary!G$1,'RA9-Codisposal Upper'!$A$9:$BN$9,1),FALSE),0)+IFERROR(VLOOKUP($B16,'RA10-Codisposal Slopes'!$A$11:$BN$18,MATCH(Summary!G$1,'RA10-Codisposal Slopes'!$A$9:$BN$9,1),FALSE),0)+IFERROR(VLOOKUP($B16,'IA1-Final Void inc Ramps'!$A$11:$BN$18,MATCH(Summary!G$1,'IA1-Final Void inc Ramps'!$A$9:$BN$9,1),FALSE),0)</f>
        <v>0</v>
      </c>
      <c r="H16" s="51">
        <f>IFERROR(VLOOKUP($B16,'RA1- Elevated Dumps Upper'!$A$11:$BN$18,MATCH(Summary!H$1,'RA1- Elevated Dumps Upper'!$A$9:$BN$9,1),FALSE),0)+IFERROR(VLOOKUP($B16,'RA2-Elevated Dumps Slopes'!$A$11:$BN$18,MATCH(Summary!H$1,'RA2-Elevated Dumps Slopes'!$A$9:$BN$9,1),FALSE),0)+IFERROR(VLOOKUP($B16,'RA3-Backfilled Pits'!$A$11:$BN$18,MATCH(Summary!H$1,'RA3-Backfilled Pits'!$A$9:$BN$9,1),FALSE),0)+IFERROR(VLOOKUP($B16,'RA4-Tracks_Roads'!$A$11:$BN$18,MATCH(Summary!H$1,'RA4-Tracks_Roads'!$A$9:$BN$9,1),FALSE),0)+IFERROR(VLOOKUP($B16,'RA5-ROM'!$A$11:$BN$18,MATCH(Summary!H$1,'RA5-ROM'!$A$9:$BN$9,1),FALSE),0)+IFERROR(VLOOKUP($B16,'RA6-CHPP'!$A$11:$BN$18,MATCH(Summary!H$1,'RA6-CHPP'!$A$9:$BN$9,1),FALSE),0)+IFERROR(VLOOKUP($B16,'RA7-Mine Infrastructure Area'!$A$11:$BN$18,MATCH(Summary!H$1,'RA7-Mine Infrastructure Area'!$A$9:$BN$9,1),FALSE),0)+IFERROR(VLOOKUP($B16,'RA8-Water Management Structures'!$A$11:$BN$18,MATCH(Summary!H$1,'RA8-Water Management Structures'!$A$9:$BN$9,1),FALSE),0)+IFERROR(VLOOKUP($B16,'RA9-Codisposal Upper'!$A$11:$BN$18,MATCH(Summary!H$1,'RA9-Codisposal Upper'!$A$9:$BN$9,1),FALSE),0)+IFERROR(VLOOKUP($B16,'RA10-Codisposal Slopes'!$A$11:$BN$18,MATCH(Summary!H$1,'RA10-Codisposal Slopes'!$A$9:$BN$9,1),FALSE),0)+IFERROR(VLOOKUP($B16,'IA1-Final Void inc Ramps'!$A$11:$BN$18,MATCH(Summary!H$1,'IA1-Final Void inc Ramps'!$A$9:$BN$9,1),FALSE),0)</f>
        <v>0</v>
      </c>
      <c r="I16" s="51">
        <f>IFERROR(VLOOKUP($B16,'RA1- Elevated Dumps Upper'!$A$11:$BN$18,MATCH(Summary!I$1,'RA1- Elevated Dumps Upper'!$A$9:$BN$9,1),FALSE),0)+IFERROR(VLOOKUP($B16,'RA2-Elevated Dumps Slopes'!$A$11:$BN$18,MATCH(Summary!I$1,'RA2-Elevated Dumps Slopes'!$A$9:$BN$9,1),FALSE),0)+IFERROR(VLOOKUP($B16,'RA3-Backfilled Pits'!$A$11:$BN$18,MATCH(Summary!I$1,'RA3-Backfilled Pits'!$A$9:$BN$9,1),FALSE),0)+IFERROR(VLOOKUP($B16,'RA4-Tracks_Roads'!$A$11:$BN$18,MATCH(Summary!I$1,'RA4-Tracks_Roads'!$A$9:$BN$9,1),FALSE),0)+IFERROR(VLOOKUP($B16,'RA5-ROM'!$A$11:$BN$18,MATCH(Summary!I$1,'RA5-ROM'!$A$9:$BN$9,1),FALSE),0)+IFERROR(VLOOKUP($B16,'RA6-CHPP'!$A$11:$BN$18,MATCH(Summary!I$1,'RA6-CHPP'!$A$9:$BN$9,1),FALSE),0)+IFERROR(VLOOKUP($B16,'RA7-Mine Infrastructure Area'!$A$11:$BN$18,MATCH(Summary!I$1,'RA7-Mine Infrastructure Area'!$A$9:$BN$9,1),FALSE),0)+IFERROR(VLOOKUP($B16,'RA8-Water Management Structures'!$A$11:$BN$18,MATCH(Summary!I$1,'RA8-Water Management Structures'!$A$9:$BN$9,1),FALSE),0)+IFERROR(VLOOKUP($B16,'RA9-Codisposal Upper'!$A$11:$BN$18,MATCH(Summary!I$1,'RA9-Codisposal Upper'!$A$9:$BN$9,1),FALSE),0)+IFERROR(VLOOKUP($B16,'RA10-Codisposal Slopes'!$A$11:$BN$18,MATCH(Summary!I$1,'RA10-Codisposal Slopes'!$A$9:$BN$9,1),FALSE),0)+IFERROR(VLOOKUP($B16,'IA1-Final Void inc Ramps'!$A$11:$BN$18,MATCH(Summary!I$1,'IA1-Final Void inc Ramps'!$A$9:$BN$9,1),FALSE),0)</f>
        <v>0</v>
      </c>
      <c r="J16" s="51">
        <f>IFERROR(VLOOKUP($B16,'RA1- Elevated Dumps Upper'!$A$11:$BN$18,MATCH(Summary!J$1,'RA1- Elevated Dumps Upper'!$A$9:$BN$9,1),FALSE),0)+IFERROR(VLOOKUP($B16,'RA2-Elevated Dumps Slopes'!$A$11:$BN$18,MATCH(Summary!J$1,'RA2-Elevated Dumps Slopes'!$A$9:$BN$9,1),FALSE),0)+IFERROR(VLOOKUP($B16,'RA3-Backfilled Pits'!$A$11:$BN$18,MATCH(Summary!J$1,'RA3-Backfilled Pits'!$A$9:$BN$9,1),FALSE),0)+IFERROR(VLOOKUP($B16,'RA4-Tracks_Roads'!$A$11:$BN$18,MATCH(Summary!J$1,'RA4-Tracks_Roads'!$A$9:$BN$9,1),FALSE),0)+IFERROR(VLOOKUP($B16,'RA5-ROM'!$A$11:$BN$18,MATCH(Summary!J$1,'RA5-ROM'!$A$9:$BN$9,1),FALSE),0)+IFERROR(VLOOKUP($B16,'RA6-CHPP'!$A$11:$BN$18,MATCH(Summary!J$1,'RA6-CHPP'!$A$9:$BN$9,1),FALSE),0)+IFERROR(VLOOKUP($B16,'RA7-Mine Infrastructure Area'!$A$11:$BN$18,MATCH(Summary!J$1,'RA7-Mine Infrastructure Area'!$A$9:$BN$9,1),FALSE),0)+IFERROR(VLOOKUP($B16,'RA8-Water Management Structures'!$A$11:$BN$18,MATCH(Summary!J$1,'RA8-Water Management Structures'!$A$9:$BN$9,1),FALSE),0)+IFERROR(VLOOKUP($B16,'RA9-Codisposal Upper'!$A$11:$BN$18,MATCH(Summary!J$1,'RA9-Codisposal Upper'!$A$9:$BN$9,1),FALSE),0)+IFERROR(VLOOKUP($B16,'RA10-Codisposal Slopes'!$A$11:$BN$18,MATCH(Summary!J$1,'RA10-Codisposal Slopes'!$A$9:$BN$9,1),FALSE),0)+IFERROR(VLOOKUP($B16,'IA1-Final Void inc Ramps'!$A$11:$BN$18,MATCH(Summary!J$1,'IA1-Final Void inc Ramps'!$A$9:$BN$9,1),FALSE),0)</f>
        <v>0</v>
      </c>
      <c r="K16" s="51">
        <f>IFERROR(VLOOKUP($B16,'RA1- Elevated Dumps Upper'!$A$11:$BN$18,MATCH(Summary!K$1,'RA1- Elevated Dumps Upper'!$A$9:$BN$9,1),FALSE),0)+IFERROR(VLOOKUP($B16,'RA2-Elevated Dumps Slopes'!$A$11:$BN$18,MATCH(Summary!K$1,'RA2-Elevated Dumps Slopes'!$A$9:$BN$9,1),FALSE),0)+IFERROR(VLOOKUP($B16,'RA3-Backfilled Pits'!$A$11:$BN$18,MATCH(Summary!K$1,'RA3-Backfilled Pits'!$A$9:$BN$9,1),FALSE),0)+IFERROR(VLOOKUP($B16,'RA4-Tracks_Roads'!$A$11:$BN$18,MATCH(Summary!K$1,'RA4-Tracks_Roads'!$A$9:$BN$9,1),FALSE),0)+IFERROR(VLOOKUP($B16,'RA5-ROM'!$A$11:$BN$18,MATCH(Summary!K$1,'RA5-ROM'!$A$9:$BN$9,1),FALSE),0)+IFERROR(VLOOKUP($B16,'RA6-CHPP'!$A$11:$BN$18,MATCH(Summary!K$1,'RA6-CHPP'!$A$9:$BN$9,1),FALSE),0)+IFERROR(VLOOKUP($B16,'RA7-Mine Infrastructure Area'!$A$11:$BN$18,MATCH(Summary!K$1,'RA7-Mine Infrastructure Area'!$A$9:$BN$9,1),FALSE),0)+IFERROR(VLOOKUP($B16,'RA8-Water Management Structures'!$A$11:$BN$18,MATCH(Summary!K$1,'RA8-Water Management Structures'!$A$9:$BN$9,1),FALSE),0)+IFERROR(VLOOKUP($B16,'RA9-Codisposal Upper'!$A$11:$BN$18,MATCH(Summary!K$1,'RA9-Codisposal Upper'!$A$9:$BN$9,1),FALSE),0)+IFERROR(VLOOKUP($B16,'RA10-Codisposal Slopes'!$A$11:$BN$18,MATCH(Summary!K$1,'RA10-Codisposal Slopes'!$A$9:$BN$9,1),FALSE),0)+IFERROR(VLOOKUP($B16,'IA1-Final Void inc Ramps'!$A$11:$BN$18,MATCH(Summary!K$1,'IA1-Final Void inc Ramps'!$A$9:$BN$9,1),FALSE),0)</f>
        <v>33.869</v>
      </c>
      <c r="L16" s="51">
        <f>IFERROR(VLOOKUP($B16,'RA1- Elevated Dumps Upper'!$A$11:$BN$18,MATCH(Summary!L$1,'RA1- Elevated Dumps Upper'!$A$9:$BN$9,1),FALSE),0)+IFERROR(VLOOKUP($B16,'RA2-Elevated Dumps Slopes'!$A$11:$BN$18,MATCH(Summary!L$1,'RA2-Elevated Dumps Slopes'!$A$9:$BN$9,1),FALSE),0)+IFERROR(VLOOKUP($B16,'RA3-Backfilled Pits'!$A$11:$BN$18,MATCH(Summary!L$1,'RA3-Backfilled Pits'!$A$9:$BN$9,1),FALSE),0)+IFERROR(VLOOKUP($B16,'RA4-Tracks_Roads'!$A$11:$BN$18,MATCH(Summary!L$1,'RA4-Tracks_Roads'!$A$9:$BN$9,1),FALSE),0)+IFERROR(VLOOKUP($B16,'RA5-ROM'!$A$11:$BN$18,MATCH(Summary!L$1,'RA5-ROM'!$A$9:$BN$9,1),FALSE),0)+IFERROR(VLOOKUP($B16,'RA6-CHPP'!$A$11:$BN$18,MATCH(Summary!L$1,'RA6-CHPP'!$A$9:$BN$9,1),FALSE),0)+IFERROR(VLOOKUP($B16,'RA7-Mine Infrastructure Area'!$A$11:$BN$18,MATCH(Summary!L$1,'RA7-Mine Infrastructure Area'!$A$9:$BN$9,1),FALSE),0)+IFERROR(VLOOKUP($B16,'RA8-Water Management Structures'!$A$11:$BN$18,MATCH(Summary!L$1,'RA8-Water Management Structures'!$A$9:$BN$9,1),FALSE),0)+IFERROR(VLOOKUP($B16,'RA9-Codisposal Upper'!$A$11:$BN$18,MATCH(Summary!L$1,'RA9-Codisposal Upper'!$A$9:$BN$9,1),FALSE),0)+IFERROR(VLOOKUP($B16,'RA10-Codisposal Slopes'!$A$11:$BN$18,MATCH(Summary!L$1,'RA10-Codisposal Slopes'!$A$9:$BN$9,1),FALSE),0)+IFERROR(VLOOKUP($B16,'IA1-Final Void inc Ramps'!$A$11:$BN$18,MATCH(Summary!L$1,'IA1-Final Void inc Ramps'!$A$9:$BN$9,1),FALSE),0)</f>
        <v>78.697000000000003</v>
      </c>
      <c r="M16" s="51">
        <f>IFERROR(VLOOKUP($B16,'RA1- Elevated Dumps Upper'!$A$11:$BN$18,MATCH(Summary!M$1,'RA1- Elevated Dumps Upper'!$A$9:$BN$9,1),FALSE),0)+IFERROR(VLOOKUP($B16,'RA2-Elevated Dumps Slopes'!$A$11:$BN$18,MATCH(Summary!M$1,'RA2-Elevated Dumps Slopes'!$A$9:$BN$9,1),FALSE),0)+IFERROR(VLOOKUP($B16,'RA3-Backfilled Pits'!$A$11:$BN$18,MATCH(Summary!M$1,'RA3-Backfilled Pits'!$A$9:$BN$9,1),FALSE),0)+IFERROR(VLOOKUP($B16,'RA4-Tracks_Roads'!$A$11:$BN$18,MATCH(Summary!M$1,'RA4-Tracks_Roads'!$A$9:$BN$9,1),FALSE),0)+IFERROR(VLOOKUP($B16,'RA5-ROM'!$A$11:$BN$18,MATCH(Summary!M$1,'RA5-ROM'!$A$9:$BN$9,1),FALSE),0)+IFERROR(VLOOKUP($B16,'RA6-CHPP'!$A$11:$BN$18,MATCH(Summary!M$1,'RA6-CHPP'!$A$9:$BN$9,1),FALSE),0)+IFERROR(VLOOKUP($B16,'RA7-Mine Infrastructure Area'!$A$11:$BN$18,MATCH(Summary!M$1,'RA7-Mine Infrastructure Area'!$A$9:$BN$9,1),FALSE),0)+IFERROR(VLOOKUP($B16,'RA8-Water Management Structures'!$A$11:$BN$18,MATCH(Summary!M$1,'RA8-Water Management Structures'!$A$9:$BN$9,1),FALSE),0)+IFERROR(VLOOKUP($B16,'RA9-Codisposal Upper'!$A$11:$BN$18,MATCH(Summary!M$1,'RA9-Codisposal Upper'!$A$9:$BN$9,1),FALSE),0)+IFERROR(VLOOKUP($B16,'RA10-Codisposal Slopes'!$A$11:$BN$18,MATCH(Summary!M$1,'RA10-Codisposal Slopes'!$A$9:$BN$9,1),FALSE),0)+IFERROR(VLOOKUP($B16,'IA1-Final Void inc Ramps'!$A$11:$BN$18,MATCH(Summary!M$1,'IA1-Final Void inc Ramps'!$A$9:$BN$9,1),FALSE),0)</f>
        <v>129.40700000000001</v>
      </c>
      <c r="N16" s="51">
        <f>IFERROR(VLOOKUP($B16,'RA1- Elevated Dumps Upper'!$A$11:$BN$18,MATCH(Summary!N$1,'RA1- Elevated Dumps Upper'!$A$9:$BN$9,1),FALSE),0)+IFERROR(VLOOKUP($B16,'RA2-Elevated Dumps Slopes'!$A$11:$BN$18,MATCH(Summary!N$1,'RA2-Elevated Dumps Slopes'!$A$9:$BN$9,1),FALSE),0)+IFERROR(VLOOKUP($B16,'RA3-Backfilled Pits'!$A$11:$BN$18,MATCH(Summary!N$1,'RA3-Backfilled Pits'!$A$9:$BN$9,1),FALSE),0)+IFERROR(VLOOKUP($B16,'RA4-Tracks_Roads'!$A$11:$BN$18,MATCH(Summary!N$1,'RA4-Tracks_Roads'!$A$9:$BN$9,1),FALSE),0)+IFERROR(VLOOKUP($B16,'RA5-ROM'!$A$11:$BN$18,MATCH(Summary!N$1,'RA5-ROM'!$A$9:$BN$9,1),FALSE),0)+IFERROR(VLOOKUP($B16,'RA6-CHPP'!$A$11:$BN$18,MATCH(Summary!N$1,'RA6-CHPP'!$A$9:$BN$9,1),FALSE),0)+IFERROR(VLOOKUP($B16,'RA7-Mine Infrastructure Area'!$A$11:$BN$18,MATCH(Summary!N$1,'RA7-Mine Infrastructure Area'!$A$9:$BN$9,1),FALSE),0)+IFERROR(VLOOKUP($B16,'RA8-Water Management Structures'!$A$11:$BN$18,MATCH(Summary!N$1,'RA8-Water Management Structures'!$A$9:$BN$9,1),FALSE),0)+IFERROR(VLOOKUP($B16,'RA9-Codisposal Upper'!$A$11:$BN$18,MATCH(Summary!N$1,'RA9-Codisposal Upper'!$A$9:$BN$9,1),FALSE),0)+IFERROR(VLOOKUP($B16,'RA10-Codisposal Slopes'!$A$11:$BN$18,MATCH(Summary!N$1,'RA10-Codisposal Slopes'!$A$9:$BN$9,1),FALSE),0)+IFERROR(VLOOKUP($B16,'IA1-Final Void inc Ramps'!$A$11:$BN$18,MATCH(Summary!N$1,'IA1-Final Void inc Ramps'!$A$9:$BN$9,1),FALSE),0)</f>
        <v>241.43900000000002</v>
      </c>
      <c r="O16" s="51">
        <f>IFERROR(VLOOKUP($B16,'RA1- Elevated Dumps Upper'!$A$11:$BN$18,MATCH(Summary!O$1,'RA1- Elevated Dumps Upper'!$A$9:$BN$9,1),FALSE),0)+IFERROR(VLOOKUP($B16,'RA2-Elevated Dumps Slopes'!$A$11:$BN$18,MATCH(Summary!O$1,'RA2-Elevated Dumps Slopes'!$A$9:$BN$9,1),FALSE),0)+IFERROR(VLOOKUP($B16,'RA3-Backfilled Pits'!$A$11:$BN$18,MATCH(Summary!O$1,'RA3-Backfilled Pits'!$A$9:$BN$9,1),FALSE),0)+IFERROR(VLOOKUP($B16,'RA4-Tracks_Roads'!$A$11:$BN$18,MATCH(Summary!O$1,'RA4-Tracks_Roads'!$A$9:$BN$9,1),FALSE),0)+IFERROR(VLOOKUP($B16,'RA5-ROM'!$A$11:$BN$18,MATCH(Summary!O$1,'RA5-ROM'!$A$9:$BN$9,1),FALSE),0)+IFERROR(VLOOKUP($B16,'RA6-CHPP'!$A$11:$BN$18,MATCH(Summary!O$1,'RA6-CHPP'!$A$9:$BN$9,1),FALSE),0)+IFERROR(VLOOKUP($B16,'RA7-Mine Infrastructure Area'!$A$11:$BN$18,MATCH(Summary!O$1,'RA7-Mine Infrastructure Area'!$A$9:$BN$9,1),FALSE),0)+IFERROR(VLOOKUP($B16,'RA8-Water Management Structures'!$A$11:$BN$18,MATCH(Summary!O$1,'RA8-Water Management Structures'!$A$9:$BN$9,1),FALSE),0)+IFERROR(VLOOKUP($B16,'RA9-Codisposal Upper'!$A$11:$BN$18,MATCH(Summary!O$1,'RA9-Codisposal Upper'!$A$9:$BN$9,1),FALSE),0)+IFERROR(VLOOKUP($B16,'RA10-Codisposal Slopes'!$A$11:$BN$18,MATCH(Summary!O$1,'RA10-Codisposal Slopes'!$A$9:$BN$9,1),FALSE),0)+IFERROR(VLOOKUP($B16,'IA1-Final Void inc Ramps'!$A$11:$BN$18,MATCH(Summary!O$1,'IA1-Final Void inc Ramps'!$A$9:$BN$9,1),FALSE),0)</f>
        <v>433.27699999999999</v>
      </c>
      <c r="P16" s="51">
        <f>IFERROR(VLOOKUP($B16,'RA1- Elevated Dumps Upper'!$A$11:$BN$18,MATCH(Summary!P$1,'RA1- Elevated Dumps Upper'!$A$9:$BN$9,1),FALSE),0)+IFERROR(VLOOKUP($B16,'RA2-Elevated Dumps Slopes'!$A$11:$BN$18,MATCH(Summary!P$1,'RA2-Elevated Dumps Slopes'!$A$9:$BN$9,1),FALSE),0)+IFERROR(VLOOKUP($B16,'RA3-Backfilled Pits'!$A$11:$BN$18,MATCH(Summary!P$1,'RA3-Backfilled Pits'!$A$9:$BN$9,1),FALSE),0)+IFERROR(VLOOKUP($B16,'RA4-Tracks_Roads'!$A$11:$BN$18,MATCH(Summary!P$1,'RA4-Tracks_Roads'!$A$9:$BN$9,1),FALSE),0)+IFERROR(VLOOKUP($B16,'RA5-ROM'!$A$11:$BN$18,MATCH(Summary!P$1,'RA5-ROM'!$A$9:$BN$9,1),FALSE),0)+IFERROR(VLOOKUP($B16,'RA6-CHPP'!$A$11:$BN$18,MATCH(Summary!P$1,'RA6-CHPP'!$A$9:$BN$9,1),FALSE),0)+IFERROR(VLOOKUP($B16,'RA7-Mine Infrastructure Area'!$A$11:$BN$18,MATCH(Summary!P$1,'RA7-Mine Infrastructure Area'!$A$9:$BN$9,1),FALSE),0)+IFERROR(VLOOKUP($B16,'RA8-Water Management Structures'!$A$11:$BN$18,MATCH(Summary!P$1,'RA8-Water Management Structures'!$A$9:$BN$9,1),FALSE),0)+IFERROR(VLOOKUP($B16,'RA9-Codisposal Upper'!$A$11:$BN$18,MATCH(Summary!P$1,'RA9-Codisposal Upper'!$A$9:$BN$9,1),FALSE),0)+IFERROR(VLOOKUP($B16,'RA10-Codisposal Slopes'!$A$11:$BN$18,MATCH(Summary!P$1,'RA10-Codisposal Slopes'!$A$9:$BN$9,1),FALSE),0)+IFERROR(VLOOKUP($B16,'IA1-Final Void inc Ramps'!$A$11:$BN$18,MATCH(Summary!P$1,'IA1-Final Void inc Ramps'!$A$9:$BN$9,1),FALSE),0)</f>
        <v>509.03999999999996</v>
      </c>
      <c r="Q16" s="51">
        <f>IFERROR(VLOOKUP($B16,'RA1- Elevated Dumps Upper'!$A$11:$BN$18,MATCH(Summary!Q$1,'RA1- Elevated Dumps Upper'!$A$9:$BN$9,1),FALSE),0)+IFERROR(VLOOKUP($B16,'RA2-Elevated Dumps Slopes'!$A$11:$BN$18,MATCH(Summary!Q$1,'RA2-Elevated Dumps Slopes'!$A$9:$BN$9,1),FALSE),0)+IFERROR(VLOOKUP($B16,'RA3-Backfilled Pits'!$A$11:$BN$18,MATCH(Summary!Q$1,'RA3-Backfilled Pits'!$A$9:$BN$9,1),FALSE),0)+IFERROR(VLOOKUP($B16,'RA4-Tracks_Roads'!$A$11:$BN$18,MATCH(Summary!Q$1,'RA4-Tracks_Roads'!$A$9:$BN$9,1),FALSE),0)+IFERROR(VLOOKUP($B16,'RA5-ROM'!$A$11:$BN$18,MATCH(Summary!Q$1,'RA5-ROM'!$A$9:$BN$9,1),FALSE),0)+IFERROR(VLOOKUP($B16,'RA6-CHPP'!$A$11:$BN$18,MATCH(Summary!Q$1,'RA6-CHPP'!$A$9:$BN$9,1),FALSE),0)+IFERROR(VLOOKUP($B16,'RA7-Mine Infrastructure Area'!$A$11:$BN$18,MATCH(Summary!Q$1,'RA7-Mine Infrastructure Area'!$A$9:$BN$9,1),FALSE),0)+IFERROR(VLOOKUP($B16,'RA8-Water Management Structures'!$A$11:$BN$18,MATCH(Summary!Q$1,'RA8-Water Management Structures'!$A$9:$BN$9,1),FALSE),0)+IFERROR(VLOOKUP($B16,'RA9-Codisposal Upper'!$A$11:$BN$18,MATCH(Summary!Q$1,'RA9-Codisposal Upper'!$A$9:$BN$9,1),FALSE),0)+IFERROR(VLOOKUP($B16,'RA10-Codisposal Slopes'!$A$11:$BN$18,MATCH(Summary!Q$1,'RA10-Codisposal Slopes'!$A$9:$BN$9,1),FALSE),0)+IFERROR(VLOOKUP($B16,'IA1-Final Void inc Ramps'!$A$11:$BN$18,MATCH(Summary!Q$1,'IA1-Final Void inc Ramps'!$A$9:$BN$9,1),FALSE),0)</f>
        <v>543.51400000000001</v>
      </c>
      <c r="R16" s="51">
        <f>IFERROR(VLOOKUP($B16,'RA1- Elevated Dumps Upper'!$A$11:$BN$18,MATCH(Summary!R$1,'RA1- Elevated Dumps Upper'!$A$9:$BN$9,1),FALSE),0)+IFERROR(VLOOKUP($B16,'RA2-Elevated Dumps Slopes'!$A$11:$BN$18,MATCH(Summary!R$1,'RA2-Elevated Dumps Slopes'!$A$9:$BN$9,1),FALSE),0)+IFERROR(VLOOKUP($B16,'RA3-Backfilled Pits'!$A$11:$BN$18,MATCH(Summary!R$1,'RA3-Backfilled Pits'!$A$9:$BN$9,1),FALSE),0)+IFERROR(VLOOKUP($B16,'RA4-Tracks_Roads'!$A$11:$BN$18,MATCH(Summary!R$1,'RA4-Tracks_Roads'!$A$9:$BN$9,1),FALSE),0)+IFERROR(VLOOKUP($B16,'RA5-ROM'!$A$11:$BN$18,MATCH(Summary!R$1,'RA5-ROM'!$A$9:$BN$9,1),FALSE),0)+IFERROR(VLOOKUP($B16,'RA6-CHPP'!$A$11:$BN$18,MATCH(Summary!R$1,'RA6-CHPP'!$A$9:$BN$9,1),FALSE),0)+IFERROR(VLOOKUP($B16,'RA7-Mine Infrastructure Area'!$A$11:$BN$18,MATCH(Summary!R$1,'RA7-Mine Infrastructure Area'!$A$9:$BN$9,1),FALSE),0)+IFERROR(VLOOKUP($B16,'RA8-Water Management Structures'!$A$11:$BN$18,MATCH(Summary!R$1,'RA8-Water Management Structures'!$A$9:$BN$9,1),FALSE),0)+IFERROR(VLOOKUP($B16,'RA9-Codisposal Upper'!$A$11:$BN$18,MATCH(Summary!R$1,'RA9-Codisposal Upper'!$A$9:$BN$9,1),FALSE),0)+IFERROR(VLOOKUP($B16,'RA10-Codisposal Slopes'!$A$11:$BN$18,MATCH(Summary!R$1,'RA10-Codisposal Slopes'!$A$9:$BN$9,1),FALSE),0)+IFERROR(VLOOKUP($B16,'IA1-Final Void inc Ramps'!$A$11:$BN$18,MATCH(Summary!R$1,'IA1-Final Void inc Ramps'!$A$9:$BN$9,1),FALSE),0)</f>
        <v>601.03399999999999</v>
      </c>
      <c r="S16" s="51">
        <f>IFERROR(VLOOKUP($B16,'RA1- Elevated Dumps Upper'!$A$11:$BN$18,MATCH(Summary!S$1,'RA1- Elevated Dumps Upper'!$A$9:$BN$9,1),FALSE),0)+IFERROR(VLOOKUP($B16,'RA2-Elevated Dumps Slopes'!$A$11:$BN$18,MATCH(Summary!S$1,'RA2-Elevated Dumps Slopes'!$A$9:$BN$9,1),FALSE),0)+IFERROR(VLOOKUP($B16,'RA3-Backfilled Pits'!$A$11:$BN$18,MATCH(Summary!S$1,'RA3-Backfilled Pits'!$A$9:$BN$9,1),FALSE),0)+IFERROR(VLOOKUP($B16,'RA4-Tracks_Roads'!$A$11:$BN$18,MATCH(Summary!S$1,'RA4-Tracks_Roads'!$A$9:$BN$9,1),FALSE),0)+IFERROR(VLOOKUP($B16,'RA5-ROM'!$A$11:$BN$18,MATCH(Summary!S$1,'RA5-ROM'!$A$9:$BN$9,1),FALSE),0)+IFERROR(VLOOKUP($B16,'RA6-CHPP'!$A$11:$BN$18,MATCH(Summary!S$1,'RA6-CHPP'!$A$9:$BN$9,1),FALSE),0)+IFERROR(VLOOKUP($B16,'RA7-Mine Infrastructure Area'!$A$11:$BN$18,MATCH(Summary!S$1,'RA7-Mine Infrastructure Area'!$A$9:$BN$9,1),FALSE),0)+IFERROR(VLOOKUP($B16,'RA8-Water Management Structures'!$A$11:$BN$18,MATCH(Summary!S$1,'RA8-Water Management Structures'!$A$9:$BN$9,1),FALSE),0)+IFERROR(VLOOKUP($B16,'RA9-Codisposal Upper'!$A$11:$BN$18,MATCH(Summary!S$1,'RA9-Codisposal Upper'!$A$9:$BN$9,1),FALSE),0)+IFERROR(VLOOKUP($B16,'RA10-Codisposal Slopes'!$A$11:$BN$18,MATCH(Summary!S$1,'RA10-Codisposal Slopes'!$A$9:$BN$9,1),FALSE),0)+IFERROR(VLOOKUP($B16,'IA1-Final Void inc Ramps'!$A$11:$BN$18,MATCH(Summary!S$1,'IA1-Final Void inc Ramps'!$A$9:$BN$9,1),FALSE),0)</f>
        <v>657.9899999999999</v>
      </c>
      <c r="T16" s="51">
        <f>IFERROR(VLOOKUP($B16,'RA1- Elevated Dumps Upper'!$A$11:$BN$18,MATCH(Summary!T$1,'RA1- Elevated Dumps Upper'!$A$9:$BN$9,1),FALSE),0)+IFERROR(VLOOKUP($B16,'RA2-Elevated Dumps Slopes'!$A$11:$BN$18,MATCH(Summary!T$1,'RA2-Elevated Dumps Slopes'!$A$9:$BN$9,1),FALSE),0)+IFERROR(VLOOKUP($B16,'RA3-Backfilled Pits'!$A$11:$BN$18,MATCH(Summary!T$1,'RA3-Backfilled Pits'!$A$9:$BN$9,1),FALSE),0)+IFERROR(VLOOKUP($B16,'RA4-Tracks_Roads'!$A$11:$BN$18,MATCH(Summary!T$1,'RA4-Tracks_Roads'!$A$9:$BN$9,1),FALSE),0)+IFERROR(VLOOKUP($B16,'RA5-ROM'!$A$11:$BN$18,MATCH(Summary!T$1,'RA5-ROM'!$A$9:$BN$9,1),FALSE),0)+IFERROR(VLOOKUP($B16,'RA6-CHPP'!$A$11:$BN$18,MATCH(Summary!T$1,'RA6-CHPP'!$A$9:$BN$9,1),FALSE),0)+IFERROR(VLOOKUP($B16,'RA7-Mine Infrastructure Area'!$A$11:$BN$18,MATCH(Summary!T$1,'RA7-Mine Infrastructure Area'!$A$9:$BN$9,1),FALSE),0)+IFERROR(VLOOKUP($B16,'RA8-Water Management Structures'!$A$11:$BN$18,MATCH(Summary!T$1,'RA8-Water Management Structures'!$A$9:$BN$9,1),FALSE),0)+IFERROR(VLOOKUP($B16,'RA9-Codisposal Upper'!$A$11:$BN$18,MATCH(Summary!T$1,'RA9-Codisposal Upper'!$A$9:$BN$9,1),FALSE),0)+IFERROR(VLOOKUP($B16,'RA10-Codisposal Slopes'!$A$11:$BN$18,MATCH(Summary!T$1,'RA10-Codisposal Slopes'!$A$9:$BN$9,1),FALSE),0)+IFERROR(VLOOKUP($B16,'IA1-Final Void inc Ramps'!$A$11:$BN$18,MATCH(Summary!T$1,'IA1-Final Void inc Ramps'!$A$9:$BN$9,1),FALSE),0)</f>
        <v>680.76199999999994</v>
      </c>
      <c r="U16" s="51">
        <f>IFERROR(VLOOKUP($B16,'RA1- Elevated Dumps Upper'!$A$11:$BN$18,MATCH(Summary!U$1,'RA1- Elevated Dumps Upper'!$A$9:$BN$9,1),FALSE),0)+IFERROR(VLOOKUP($B16,'RA2-Elevated Dumps Slopes'!$A$11:$BN$18,MATCH(Summary!U$1,'RA2-Elevated Dumps Slopes'!$A$9:$BN$9,1),FALSE),0)+IFERROR(VLOOKUP($B16,'RA3-Backfilled Pits'!$A$11:$BN$18,MATCH(Summary!U$1,'RA3-Backfilled Pits'!$A$9:$BN$9,1),FALSE),0)+IFERROR(VLOOKUP($B16,'RA4-Tracks_Roads'!$A$11:$BN$18,MATCH(Summary!U$1,'RA4-Tracks_Roads'!$A$9:$BN$9,1),FALSE),0)+IFERROR(VLOOKUP($B16,'RA5-ROM'!$A$11:$BN$18,MATCH(Summary!U$1,'RA5-ROM'!$A$9:$BN$9,1),FALSE),0)+IFERROR(VLOOKUP($B16,'RA6-CHPP'!$A$11:$BN$18,MATCH(Summary!U$1,'RA6-CHPP'!$A$9:$BN$9,1),FALSE),0)+IFERROR(VLOOKUP($B16,'RA7-Mine Infrastructure Area'!$A$11:$BN$18,MATCH(Summary!U$1,'RA7-Mine Infrastructure Area'!$A$9:$BN$9,1),FALSE),0)+IFERROR(VLOOKUP($B16,'RA8-Water Management Structures'!$A$11:$BN$18,MATCH(Summary!U$1,'RA8-Water Management Structures'!$A$9:$BN$9,1),FALSE),0)+IFERROR(VLOOKUP($B16,'RA9-Codisposal Upper'!$A$11:$BN$18,MATCH(Summary!U$1,'RA9-Codisposal Upper'!$A$9:$BN$9,1),FALSE),0)+IFERROR(VLOOKUP($B16,'RA10-Codisposal Slopes'!$A$11:$BN$18,MATCH(Summary!U$1,'RA10-Codisposal Slopes'!$A$9:$BN$9,1),FALSE),0)+IFERROR(VLOOKUP($B16,'IA1-Final Void inc Ramps'!$A$11:$BN$18,MATCH(Summary!U$1,'IA1-Final Void inc Ramps'!$A$9:$BN$9,1),FALSE),0)</f>
        <v>701.06399999999985</v>
      </c>
      <c r="V16" s="51">
        <f>IFERROR(VLOOKUP($B16,'RA1- Elevated Dumps Upper'!$A$11:$BN$18,MATCH(Summary!V$1,'RA1- Elevated Dumps Upper'!$A$9:$BN$9,1),FALSE),0)+IFERROR(VLOOKUP($B16,'RA2-Elevated Dumps Slopes'!$A$11:$BN$18,MATCH(Summary!V$1,'RA2-Elevated Dumps Slopes'!$A$9:$BN$9,1),FALSE),0)+IFERROR(VLOOKUP($B16,'RA3-Backfilled Pits'!$A$11:$BN$18,MATCH(Summary!V$1,'RA3-Backfilled Pits'!$A$9:$BN$9,1),FALSE),0)+IFERROR(VLOOKUP($B16,'RA4-Tracks_Roads'!$A$11:$BN$18,MATCH(Summary!V$1,'RA4-Tracks_Roads'!$A$9:$BN$9,1),FALSE),0)+IFERROR(VLOOKUP($B16,'RA5-ROM'!$A$11:$BN$18,MATCH(Summary!V$1,'RA5-ROM'!$A$9:$BN$9,1),FALSE),0)+IFERROR(VLOOKUP($B16,'RA6-CHPP'!$A$11:$BN$18,MATCH(Summary!V$1,'RA6-CHPP'!$A$9:$BN$9,1),FALSE),0)+IFERROR(VLOOKUP($B16,'RA7-Mine Infrastructure Area'!$A$11:$BN$18,MATCH(Summary!V$1,'RA7-Mine Infrastructure Area'!$A$9:$BN$9,1),FALSE),0)+IFERROR(VLOOKUP($B16,'RA8-Water Management Structures'!$A$11:$BN$18,MATCH(Summary!V$1,'RA8-Water Management Structures'!$A$9:$BN$9,1),FALSE),0)+IFERROR(VLOOKUP($B16,'RA9-Codisposal Upper'!$A$11:$BN$18,MATCH(Summary!V$1,'RA9-Codisposal Upper'!$A$9:$BN$9,1),FALSE),0)+IFERROR(VLOOKUP($B16,'RA10-Codisposal Slopes'!$A$11:$BN$18,MATCH(Summary!V$1,'RA10-Codisposal Slopes'!$A$9:$BN$9,1),FALSE),0)+IFERROR(VLOOKUP($B16,'IA1-Final Void inc Ramps'!$A$11:$BN$18,MATCH(Summary!V$1,'IA1-Final Void inc Ramps'!$A$9:$BN$9,1),FALSE),0)</f>
        <v>701.06399999999985</v>
      </c>
      <c r="W16" s="51">
        <f>IFERROR(VLOOKUP($B16,'RA1- Elevated Dumps Upper'!$A$11:$BN$18,MATCH(Summary!W$1,'RA1- Elevated Dumps Upper'!$A$9:$BN$9,1),FALSE),0)+IFERROR(VLOOKUP($B16,'RA2-Elevated Dumps Slopes'!$A$11:$BN$18,MATCH(Summary!W$1,'RA2-Elevated Dumps Slopes'!$A$9:$BN$9,1),FALSE),0)+IFERROR(VLOOKUP($B16,'RA3-Backfilled Pits'!$A$11:$BN$18,MATCH(Summary!W$1,'RA3-Backfilled Pits'!$A$9:$BN$9,1),FALSE),0)+IFERROR(VLOOKUP($B16,'RA4-Tracks_Roads'!$A$11:$BN$18,MATCH(Summary!W$1,'RA4-Tracks_Roads'!$A$9:$BN$9,1),FALSE),0)+IFERROR(VLOOKUP($B16,'RA5-ROM'!$A$11:$BN$18,MATCH(Summary!W$1,'RA5-ROM'!$A$9:$BN$9,1),FALSE),0)+IFERROR(VLOOKUP($B16,'RA6-CHPP'!$A$11:$BN$18,MATCH(Summary!W$1,'RA6-CHPP'!$A$9:$BN$9,1),FALSE),0)+IFERROR(VLOOKUP($B16,'RA7-Mine Infrastructure Area'!$A$11:$BN$18,MATCH(Summary!W$1,'RA7-Mine Infrastructure Area'!$A$9:$BN$9,1),FALSE),0)+IFERROR(VLOOKUP($B16,'RA8-Water Management Structures'!$A$11:$BN$18,MATCH(Summary!W$1,'RA8-Water Management Structures'!$A$9:$BN$9,1),FALSE),0)+IFERROR(VLOOKUP($B16,'RA9-Codisposal Upper'!$A$11:$BN$18,MATCH(Summary!W$1,'RA9-Codisposal Upper'!$A$9:$BN$9,1),FALSE),0)+IFERROR(VLOOKUP($B16,'RA10-Codisposal Slopes'!$A$11:$BN$18,MATCH(Summary!W$1,'RA10-Codisposal Slopes'!$A$9:$BN$9,1),FALSE),0)+IFERROR(VLOOKUP($B16,'IA1-Final Void inc Ramps'!$A$11:$BN$18,MATCH(Summary!W$1,'IA1-Final Void inc Ramps'!$A$9:$BN$9,1),FALSE),0)</f>
        <v>725.3119999999999</v>
      </c>
      <c r="X16" s="51">
        <f>IFERROR(VLOOKUP($B16,'RA1- Elevated Dumps Upper'!$A$11:$BN$18,MATCH(Summary!X$1,'RA1- Elevated Dumps Upper'!$A$9:$BN$9,1),FALSE),0)+IFERROR(VLOOKUP($B16,'RA2-Elevated Dumps Slopes'!$A$11:$BN$18,MATCH(Summary!X$1,'RA2-Elevated Dumps Slopes'!$A$9:$BN$9,1),FALSE),0)+IFERROR(VLOOKUP($B16,'RA3-Backfilled Pits'!$A$11:$BN$18,MATCH(Summary!X$1,'RA3-Backfilled Pits'!$A$9:$BN$9,1),FALSE),0)+IFERROR(VLOOKUP($B16,'RA4-Tracks_Roads'!$A$11:$BN$18,MATCH(Summary!X$1,'RA4-Tracks_Roads'!$A$9:$BN$9,1),FALSE),0)+IFERROR(VLOOKUP($B16,'RA5-ROM'!$A$11:$BN$18,MATCH(Summary!X$1,'RA5-ROM'!$A$9:$BN$9,1),FALSE),0)+IFERROR(VLOOKUP($B16,'RA6-CHPP'!$A$11:$BN$18,MATCH(Summary!X$1,'RA6-CHPP'!$A$9:$BN$9,1),FALSE),0)+IFERROR(VLOOKUP($B16,'RA7-Mine Infrastructure Area'!$A$11:$BN$18,MATCH(Summary!X$1,'RA7-Mine Infrastructure Area'!$A$9:$BN$9,1),FALSE),0)+IFERROR(VLOOKUP($B16,'RA8-Water Management Structures'!$A$11:$BN$18,MATCH(Summary!X$1,'RA8-Water Management Structures'!$A$9:$BN$9,1),FALSE),0)+IFERROR(VLOOKUP($B16,'RA9-Codisposal Upper'!$A$11:$BN$18,MATCH(Summary!X$1,'RA9-Codisposal Upper'!$A$9:$BN$9,1),FALSE),0)+IFERROR(VLOOKUP($B16,'RA10-Codisposal Slopes'!$A$11:$BN$18,MATCH(Summary!X$1,'RA10-Codisposal Slopes'!$A$9:$BN$9,1),FALSE),0)+IFERROR(VLOOKUP($B16,'IA1-Final Void inc Ramps'!$A$11:$BN$18,MATCH(Summary!X$1,'IA1-Final Void inc Ramps'!$A$9:$BN$9,1),FALSE),0)</f>
        <v>759.93</v>
      </c>
      <c r="Y16" s="51">
        <f>IFERROR(VLOOKUP($B16,'RA1- Elevated Dumps Upper'!$A$11:$BN$18,MATCH(Summary!Y$1,'RA1- Elevated Dumps Upper'!$A$9:$BN$9,1),FALSE),0)+IFERROR(VLOOKUP($B16,'RA2-Elevated Dumps Slopes'!$A$11:$BN$18,MATCH(Summary!Y$1,'RA2-Elevated Dumps Slopes'!$A$9:$BN$9,1),FALSE),0)+IFERROR(VLOOKUP($B16,'RA3-Backfilled Pits'!$A$11:$BN$18,MATCH(Summary!Y$1,'RA3-Backfilled Pits'!$A$9:$BN$9,1),FALSE),0)+IFERROR(VLOOKUP($B16,'RA4-Tracks_Roads'!$A$11:$BN$18,MATCH(Summary!Y$1,'RA4-Tracks_Roads'!$A$9:$BN$9,1),FALSE),0)+IFERROR(VLOOKUP($B16,'RA5-ROM'!$A$11:$BN$18,MATCH(Summary!Y$1,'RA5-ROM'!$A$9:$BN$9,1),FALSE),0)+IFERROR(VLOOKUP($B16,'RA6-CHPP'!$A$11:$BN$18,MATCH(Summary!Y$1,'RA6-CHPP'!$A$9:$BN$9,1),FALSE),0)+IFERROR(VLOOKUP($B16,'RA7-Mine Infrastructure Area'!$A$11:$BN$18,MATCH(Summary!Y$1,'RA7-Mine Infrastructure Area'!$A$9:$BN$9,1),FALSE),0)+IFERROR(VLOOKUP($B16,'RA8-Water Management Structures'!$A$11:$BN$18,MATCH(Summary!Y$1,'RA8-Water Management Structures'!$A$9:$BN$9,1),FALSE),0)+IFERROR(VLOOKUP($B16,'RA9-Codisposal Upper'!$A$11:$BN$18,MATCH(Summary!Y$1,'RA9-Codisposal Upper'!$A$9:$BN$9,1),FALSE),0)+IFERROR(VLOOKUP($B16,'RA10-Codisposal Slopes'!$A$11:$BN$18,MATCH(Summary!Y$1,'RA10-Codisposal Slopes'!$A$9:$BN$9,1),FALSE),0)+IFERROR(VLOOKUP($B16,'IA1-Final Void inc Ramps'!$A$11:$BN$18,MATCH(Summary!Y$1,'IA1-Final Void inc Ramps'!$A$9:$BN$9,1),FALSE),0)</f>
        <v>825.22</v>
      </c>
      <c r="Z16" s="51">
        <f>IFERROR(VLOOKUP($B16,'RA1- Elevated Dumps Upper'!$A$11:$BN$18,MATCH(Summary!Z$1,'RA1- Elevated Dumps Upper'!$A$9:$BN$9,1),FALSE),0)+IFERROR(VLOOKUP($B16,'RA2-Elevated Dumps Slopes'!$A$11:$BN$18,MATCH(Summary!Z$1,'RA2-Elevated Dumps Slopes'!$A$9:$BN$9,1),FALSE),0)+IFERROR(VLOOKUP($B16,'RA3-Backfilled Pits'!$A$11:$BN$18,MATCH(Summary!Z$1,'RA3-Backfilled Pits'!$A$9:$BN$9,1),FALSE),0)+IFERROR(VLOOKUP($B16,'RA4-Tracks_Roads'!$A$11:$BN$18,MATCH(Summary!Z$1,'RA4-Tracks_Roads'!$A$9:$BN$9,1),FALSE),0)+IFERROR(VLOOKUP($B16,'RA5-ROM'!$A$11:$BN$18,MATCH(Summary!Z$1,'RA5-ROM'!$A$9:$BN$9,1),FALSE),0)+IFERROR(VLOOKUP($B16,'RA6-CHPP'!$A$11:$BN$18,MATCH(Summary!Z$1,'RA6-CHPP'!$A$9:$BN$9,1),FALSE),0)+IFERROR(VLOOKUP($B16,'RA7-Mine Infrastructure Area'!$A$11:$BN$18,MATCH(Summary!Z$1,'RA7-Mine Infrastructure Area'!$A$9:$BN$9,1),FALSE),0)+IFERROR(VLOOKUP($B16,'RA8-Water Management Structures'!$A$11:$BN$18,MATCH(Summary!Z$1,'RA8-Water Management Structures'!$A$9:$BN$9,1),FALSE),0)+IFERROR(VLOOKUP($B16,'RA9-Codisposal Upper'!$A$11:$BN$18,MATCH(Summary!Z$1,'RA9-Codisposal Upper'!$A$9:$BN$9,1),FALSE),0)+IFERROR(VLOOKUP($B16,'RA10-Codisposal Slopes'!$A$11:$BN$18,MATCH(Summary!Z$1,'RA10-Codisposal Slopes'!$A$9:$BN$9,1),FALSE),0)+IFERROR(VLOOKUP($B16,'IA1-Final Void inc Ramps'!$A$11:$BN$18,MATCH(Summary!Z$1,'IA1-Final Void inc Ramps'!$A$9:$BN$9,1),FALSE),0)</f>
        <v>860.49299999999994</v>
      </c>
      <c r="AA16" s="51">
        <f>IFERROR(VLOOKUP($B16,'RA1- Elevated Dumps Upper'!$A$11:$BN$18,MATCH(Summary!AA$1,'RA1- Elevated Dumps Upper'!$A$9:$BN$9,1),FALSE),0)+IFERROR(VLOOKUP($B16,'RA2-Elevated Dumps Slopes'!$A$11:$BN$18,MATCH(Summary!AA$1,'RA2-Elevated Dumps Slopes'!$A$9:$BN$9,1),FALSE),0)+IFERROR(VLOOKUP($B16,'RA3-Backfilled Pits'!$A$11:$BN$18,MATCH(Summary!AA$1,'RA3-Backfilled Pits'!$A$9:$BN$9,1),FALSE),0)+IFERROR(VLOOKUP($B16,'RA4-Tracks_Roads'!$A$11:$BN$18,MATCH(Summary!AA$1,'RA4-Tracks_Roads'!$A$9:$BN$9,1),FALSE),0)+IFERROR(VLOOKUP($B16,'RA5-ROM'!$A$11:$BN$18,MATCH(Summary!AA$1,'RA5-ROM'!$A$9:$BN$9,1),FALSE),0)+IFERROR(VLOOKUP($B16,'RA6-CHPP'!$A$11:$BN$18,MATCH(Summary!AA$1,'RA6-CHPP'!$A$9:$BN$9,1),FALSE),0)+IFERROR(VLOOKUP($B16,'RA7-Mine Infrastructure Area'!$A$11:$BN$18,MATCH(Summary!AA$1,'RA7-Mine Infrastructure Area'!$A$9:$BN$9,1),FALSE),0)+IFERROR(VLOOKUP($B16,'RA8-Water Management Structures'!$A$11:$BN$18,MATCH(Summary!AA$1,'RA8-Water Management Structures'!$A$9:$BN$9,1),FALSE),0)+IFERROR(VLOOKUP($B16,'RA9-Codisposal Upper'!$A$11:$BN$18,MATCH(Summary!AA$1,'RA9-Codisposal Upper'!$A$9:$BN$9,1),FALSE),0)+IFERROR(VLOOKUP($B16,'RA10-Codisposal Slopes'!$A$11:$BN$18,MATCH(Summary!AA$1,'RA10-Codisposal Slopes'!$A$9:$BN$9,1),FALSE),0)+IFERROR(VLOOKUP($B16,'IA1-Final Void inc Ramps'!$A$11:$BN$18,MATCH(Summary!AA$1,'IA1-Final Void inc Ramps'!$A$9:$BN$9,1),FALSE),0)</f>
        <v>860.49299999999994</v>
      </c>
      <c r="AB16" s="51">
        <f>IFERROR(VLOOKUP($B16,'RA1- Elevated Dumps Upper'!$A$11:$BN$18,MATCH(Summary!AB$1,'RA1- Elevated Dumps Upper'!$A$9:$BN$9,1),FALSE),0)+IFERROR(VLOOKUP($B16,'RA2-Elevated Dumps Slopes'!$A$11:$BN$18,MATCH(Summary!AB$1,'RA2-Elevated Dumps Slopes'!$A$9:$BN$9,1),FALSE),0)+IFERROR(VLOOKUP($B16,'RA3-Backfilled Pits'!$A$11:$BN$18,MATCH(Summary!AB$1,'RA3-Backfilled Pits'!$A$9:$BN$9,1),FALSE),0)+IFERROR(VLOOKUP($B16,'RA4-Tracks_Roads'!$A$11:$BN$18,MATCH(Summary!AB$1,'RA4-Tracks_Roads'!$A$9:$BN$9,1),FALSE),0)+IFERROR(VLOOKUP($B16,'RA5-ROM'!$A$11:$BN$18,MATCH(Summary!AB$1,'RA5-ROM'!$A$9:$BN$9,1),FALSE),0)+IFERROR(VLOOKUP($B16,'RA6-CHPP'!$A$11:$BN$18,MATCH(Summary!AB$1,'RA6-CHPP'!$A$9:$BN$9,1),FALSE),0)+IFERROR(VLOOKUP($B16,'RA7-Mine Infrastructure Area'!$A$11:$BN$18,MATCH(Summary!AB$1,'RA7-Mine Infrastructure Area'!$A$9:$BN$9,1),FALSE),0)+IFERROR(VLOOKUP($B16,'RA8-Water Management Structures'!$A$11:$BN$18,MATCH(Summary!AB$1,'RA8-Water Management Structures'!$A$9:$BN$9,1),FALSE),0)+IFERROR(VLOOKUP($B16,'RA9-Codisposal Upper'!$A$11:$BN$18,MATCH(Summary!AB$1,'RA9-Codisposal Upper'!$A$9:$BN$9,1),FALSE),0)+IFERROR(VLOOKUP($B16,'RA10-Codisposal Slopes'!$A$11:$BN$18,MATCH(Summary!AB$1,'RA10-Codisposal Slopes'!$A$9:$BN$9,1),FALSE),0)+IFERROR(VLOOKUP($B16,'IA1-Final Void inc Ramps'!$A$11:$BN$18,MATCH(Summary!AB$1,'IA1-Final Void inc Ramps'!$A$9:$BN$9,1),FALSE),0)</f>
        <v>860.49299999999994</v>
      </c>
      <c r="AC16" s="51">
        <f>IFERROR(VLOOKUP($B16,'RA1- Elevated Dumps Upper'!$A$11:$BN$18,MATCH(Summary!AC$1,'RA1- Elevated Dumps Upper'!$A$9:$BN$9,1),FALSE),0)+IFERROR(VLOOKUP($B16,'RA2-Elevated Dumps Slopes'!$A$11:$BN$18,MATCH(Summary!AC$1,'RA2-Elevated Dumps Slopes'!$A$9:$BN$9,1),FALSE),0)+IFERROR(VLOOKUP($B16,'RA3-Backfilled Pits'!$A$11:$BN$18,MATCH(Summary!AC$1,'RA3-Backfilled Pits'!$A$9:$BN$9,1),FALSE),0)+IFERROR(VLOOKUP($B16,'RA4-Tracks_Roads'!$A$11:$BN$18,MATCH(Summary!AC$1,'RA4-Tracks_Roads'!$A$9:$BN$9,1),FALSE),0)+IFERROR(VLOOKUP($B16,'RA5-ROM'!$A$11:$BN$18,MATCH(Summary!AC$1,'RA5-ROM'!$A$9:$BN$9,1),FALSE),0)+IFERROR(VLOOKUP($B16,'RA6-CHPP'!$A$11:$BN$18,MATCH(Summary!AC$1,'RA6-CHPP'!$A$9:$BN$9,1),FALSE),0)+IFERROR(VLOOKUP($B16,'RA7-Mine Infrastructure Area'!$A$11:$BN$18,MATCH(Summary!AC$1,'RA7-Mine Infrastructure Area'!$A$9:$BN$9,1),FALSE),0)+IFERROR(VLOOKUP($B16,'RA8-Water Management Structures'!$A$11:$BN$18,MATCH(Summary!AC$1,'RA8-Water Management Structures'!$A$9:$BN$9,1),FALSE),0)+IFERROR(VLOOKUP($B16,'RA9-Codisposal Upper'!$A$11:$BN$18,MATCH(Summary!AC$1,'RA9-Codisposal Upper'!$A$9:$BN$9,1),FALSE),0)+IFERROR(VLOOKUP($B16,'RA10-Codisposal Slopes'!$A$11:$BN$18,MATCH(Summary!AC$1,'RA10-Codisposal Slopes'!$A$9:$BN$9,1),FALSE),0)+IFERROR(VLOOKUP($B16,'IA1-Final Void inc Ramps'!$A$11:$BN$18,MATCH(Summary!AC$1,'IA1-Final Void inc Ramps'!$A$9:$BN$9,1),FALSE),0)</f>
        <v>895.03099999999995</v>
      </c>
      <c r="AD16" s="51">
        <f>IFERROR(VLOOKUP($B16,'RA1- Elevated Dumps Upper'!$A$11:$BN$18,MATCH(Summary!AD$1,'RA1- Elevated Dumps Upper'!$A$9:$BN$9,1),FALSE),0)+IFERROR(VLOOKUP($B16,'RA2-Elevated Dumps Slopes'!$A$11:$BN$18,MATCH(Summary!AD$1,'RA2-Elevated Dumps Slopes'!$A$9:$BN$9,1),FALSE),0)+IFERROR(VLOOKUP($B16,'RA3-Backfilled Pits'!$A$11:$BN$18,MATCH(Summary!AD$1,'RA3-Backfilled Pits'!$A$9:$BN$9,1),FALSE),0)+IFERROR(VLOOKUP($B16,'RA4-Tracks_Roads'!$A$11:$BN$18,MATCH(Summary!AD$1,'RA4-Tracks_Roads'!$A$9:$BN$9,1),FALSE),0)+IFERROR(VLOOKUP($B16,'RA5-ROM'!$A$11:$BN$18,MATCH(Summary!AD$1,'RA5-ROM'!$A$9:$BN$9,1),FALSE),0)+IFERROR(VLOOKUP($B16,'RA6-CHPP'!$A$11:$BN$18,MATCH(Summary!AD$1,'RA6-CHPP'!$A$9:$BN$9,1),FALSE),0)+IFERROR(VLOOKUP($B16,'RA7-Mine Infrastructure Area'!$A$11:$BN$18,MATCH(Summary!AD$1,'RA7-Mine Infrastructure Area'!$A$9:$BN$9,1),FALSE),0)+IFERROR(VLOOKUP($B16,'RA8-Water Management Structures'!$A$11:$BN$18,MATCH(Summary!AD$1,'RA8-Water Management Structures'!$A$9:$BN$9,1),FALSE),0)+IFERROR(VLOOKUP($B16,'RA9-Codisposal Upper'!$A$11:$BN$18,MATCH(Summary!AD$1,'RA9-Codisposal Upper'!$A$9:$BN$9,1),FALSE),0)+IFERROR(VLOOKUP($B16,'RA10-Codisposal Slopes'!$A$11:$BN$18,MATCH(Summary!AD$1,'RA10-Codisposal Slopes'!$A$9:$BN$9,1),FALSE),0)+IFERROR(VLOOKUP($B16,'IA1-Final Void inc Ramps'!$A$11:$BN$18,MATCH(Summary!AD$1,'IA1-Final Void inc Ramps'!$A$9:$BN$9,1),FALSE),0)</f>
        <v>895.03099999999995</v>
      </c>
      <c r="AE16" s="51">
        <f>IFERROR(VLOOKUP($B16,'RA1- Elevated Dumps Upper'!$A$11:$BN$18,MATCH(Summary!AE$1,'RA1- Elevated Dumps Upper'!$A$9:$BN$9,1),FALSE),0)+IFERROR(VLOOKUP($B16,'RA2-Elevated Dumps Slopes'!$A$11:$BN$18,MATCH(Summary!AE$1,'RA2-Elevated Dumps Slopes'!$A$9:$BN$9,1),FALSE),0)+IFERROR(VLOOKUP($B16,'RA3-Backfilled Pits'!$A$11:$BN$18,MATCH(Summary!AE$1,'RA3-Backfilled Pits'!$A$9:$BN$9,1),FALSE),0)+IFERROR(VLOOKUP($B16,'RA4-Tracks_Roads'!$A$11:$BN$18,MATCH(Summary!AE$1,'RA4-Tracks_Roads'!$A$9:$BN$9,1),FALSE),0)+IFERROR(VLOOKUP($B16,'RA5-ROM'!$A$11:$BN$18,MATCH(Summary!AE$1,'RA5-ROM'!$A$9:$BN$9,1),FALSE),0)+IFERROR(VLOOKUP($B16,'RA6-CHPP'!$A$11:$BN$18,MATCH(Summary!AE$1,'RA6-CHPP'!$A$9:$BN$9,1),FALSE),0)+IFERROR(VLOOKUP($B16,'RA7-Mine Infrastructure Area'!$A$11:$BN$18,MATCH(Summary!AE$1,'RA7-Mine Infrastructure Area'!$A$9:$BN$9,1),FALSE),0)+IFERROR(VLOOKUP($B16,'RA8-Water Management Structures'!$A$11:$BN$18,MATCH(Summary!AE$1,'RA8-Water Management Structures'!$A$9:$BN$9,1),FALSE),0)+IFERROR(VLOOKUP($B16,'RA9-Codisposal Upper'!$A$11:$BN$18,MATCH(Summary!AE$1,'RA9-Codisposal Upper'!$A$9:$BN$9,1),FALSE),0)+IFERROR(VLOOKUP($B16,'RA10-Codisposal Slopes'!$A$11:$BN$18,MATCH(Summary!AE$1,'RA10-Codisposal Slopes'!$A$9:$BN$9,1),FALSE),0)+IFERROR(VLOOKUP($B16,'IA1-Final Void inc Ramps'!$A$11:$BN$18,MATCH(Summary!AE$1,'IA1-Final Void inc Ramps'!$A$9:$BN$9,1),FALSE),0)</f>
        <v>895.03099999999995</v>
      </c>
      <c r="AF16" s="51">
        <f>IFERROR(VLOOKUP($B16,'RA1- Elevated Dumps Upper'!$A$11:$BN$18,MATCH(Summary!AF$1,'RA1- Elevated Dumps Upper'!$A$9:$BN$9,1),FALSE),0)+IFERROR(VLOOKUP($B16,'RA2-Elevated Dumps Slopes'!$A$11:$BN$18,MATCH(Summary!AF$1,'RA2-Elevated Dumps Slopes'!$A$9:$BN$9,1),FALSE),0)+IFERROR(VLOOKUP($B16,'RA3-Backfilled Pits'!$A$11:$BN$18,MATCH(Summary!AF$1,'RA3-Backfilled Pits'!$A$9:$BN$9,1),FALSE),0)+IFERROR(VLOOKUP($B16,'RA4-Tracks_Roads'!$A$11:$BN$18,MATCH(Summary!AF$1,'RA4-Tracks_Roads'!$A$9:$BN$9,1),FALSE),0)+IFERROR(VLOOKUP($B16,'RA5-ROM'!$A$11:$BN$18,MATCH(Summary!AF$1,'RA5-ROM'!$A$9:$BN$9,1),FALSE),0)+IFERROR(VLOOKUP($B16,'RA6-CHPP'!$A$11:$BN$18,MATCH(Summary!AF$1,'RA6-CHPP'!$A$9:$BN$9,1),FALSE),0)+IFERROR(VLOOKUP($B16,'RA7-Mine Infrastructure Area'!$A$11:$BN$18,MATCH(Summary!AF$1,'RA7-Mine Infrastructure Area'!$A$9:$BN$9,1),FALSE),0)+IFERROR(VLOOKUP($B16,'RA8-Water Management Structures'!$A$11:$BN$18,MATCH(Summary!AF$1,'RA8-Water Management Structures'!$A$9:$BN$9,1),FALSE),0)+IFERROR(VLOOKUP($B16,'RA9-Codisposal Upper'!$A$11:$BN$18,MATCH(Summary!AF$1,'RA9-Codisposal Upper'!$A$9:$BN$9,1),FALSE),0)+IFERROR(VLOOKUP($B16,'RA10-Codisposal Slopes'!$A$11:$BN$18,MATCH(Summary!AF$1,'RA10-Codisposal Slopes'!$A$9:$BN$9,1),FALSE),0)+IFERROR(VLOOKUP($B16,'IA1-Final Void inc Ramps'!$A$11:$BN$18,MATCH(Summary!AF$1,'IA1-Final Void inc Ramps'!$A$9:$BN$9,1),FALSE),0)</f>
        <v>1204.8519999999999</v>
      </c>
      <c r="AG16" s="51">
        <f>IFERROR(VLOOKUP($B16,'RA1- Elevated Dumps Upper'!$A$11:$BN$18,MATCH(Summary!AG$1,'RA1- Elevated Dumps Upper'!$A$9:$BN$9,1),FALSE),0)+IFERROR(VLOOKUP($B16,'RA2-Elevated Dumps Slopes'!$A$11:$BN$18,MATCH(Summary!AG$1,'RA2-Elevated Dumps Slopes'!$A$9:$BN$9,1),FALSE),0)+IFERROR(VLOOKUP($B16,'RA3-Backfilled Pits'!$A$11:$BN$18,MATCH(Summary!AG$1,'RA3-Backfilled Pits'!$A$9:$BN$9,1),FALSE),0)+IFERROR(VLOOKUP($B16,'RA4-Tracks_Roads'!$A$11:$BN$18,MATCH(Summary!AG$1,'RA4-Tracks_Roads'!$A$9:$BN$9,1),FALSE),0)+IFERROR(VLOOKUP($B16,'RA5-ROM'!$A$11:$BN$18,MATCH(Summary!AG$1,'RA5-ROM'!$A$9:$BN$9,1),FALSE),0)+IFERROR(VLOOKUP($B16,'RA6-CHPP'!$A$11:$BN$18,MATCH(Summary!AG$1,'RA6-CHPP'!$A$9:$BN$9,1),FALSE),0)+IFERROR(VLOOKUP($B16,'RA7-Mine Infrastructure Area'!$A$11:$BN$18,MATCH(Summary!AG$1,'RA7-Mine Infrastructure Area'!$A$9:$BN$9,1),FALSE),0)+IFERROR(VLOOKUP($B16,'RA8-Water Management Structures'!$A$11:$BN$18,MATCH(Summary!AG$1,'RA8-Water Management Structures'!$A$9:$BN$9,1),FALSE),0)+IFERROR(VLOOKUP($B16,'RA9-Codisposal Upper'!$A$11:$BN$18,MATCH(Summary!AG$1,'RA9-Codisposal Upper'!$A$9:$BN$9,1),FALSE),0)+IFERROR(VLOOKUP($B16,'RA10-Codisposal Slopes'!$A$11:$BN$18,MATCH(Summary!AG$1,'RA10-Codisposal Slopes'!$A$9:$BN$9,1),FALSE),0)+IFERROR(VLOOKUP($B16,'IA1-Final Void inc Ramps'!$A$11:$BN$18,MATCH(Summary!AG$1,'IA1-Final Void inc Ramps'!$A$9:$BN$9,1),FALSE),0)</f>
        <v>1421.7450000000001</v>
      </c>
      <c r="AH16" s="51">
        <f>IFERROR(VLOOKUP($B16,'RA1- Elevated Dumps Upper'!$A$11:$BN$18,MATCH(Summary!AH$1,'RA1- Elevated Dumps Upper'!$A$9:$BN$9,1),FALSE),0)+IFERROR(VLOOKUP($B16,'RA2-Elevated Dumps Slopes'!$A$11:$BN$18,MATCH(Summary!AH$1,'RA2-Elevated Dumps Slopes'!$A$9:$BN$9,1),FALSE),0)+IFERROR(VLOOKUP($B16,'RA3-Backfilled Pits'!$A$11:$BN$18,MATCH(Summary!AH$1,'RA3-Backfilled Pits'!$A$9:$BN$9,1),FALSE),0)+IFERROR(VLOOKUP($B16,'RA4-Tracks_Roads'!$A$11:$BN$18,MATCH(Summary!AH$1,'RA4-Tracks_Roads'!$A$9:$BN$9,1),FALSE),0)+IFERROR(VLOOKUP($B16,'RA5-ROM'!$A$11:$BN$18,MATCH(Summary!AH$1,'RA5-ROM'!$A$9:$BN$9,1),FALSE),0)+IFERROR(VLOOKUP($B16,'RA6-CHPP'!$A$11:$BN$18,MATCH(Summary!AH$1,'RA6-CHPP'!$A$9:$BN$9,1),FALSE),0)+IFERROR(VLOOKUP($B16,'RA7-Mine Infrastructure Area'!$A$11:$BN$18,MATCH(Summary!AH$1,'RA7-Mine Infrastructure Area'!$A$9:$BN$9,1),FALSE),0)+IFERROR(VLOOKUP($B16,'RA8-Water Management Structures'!$A$11:$BN$18,MATCH(Summary!AH$1,'RA8-Water Management Structures'!$A$9:$BN$9,1),FALSE),0)+IFERROR(VLOOKUP($B16,'RA9-Codisposal Upper'!$A$11:$BN$18,MATCH(Summary!AH$1,'RA9-Codisposal Upper'!$A$9:$BN$9,1),FALSE),0)+IFERROR(VLOOKUP($B16,'RA10-Codisposal Slopes'!$A$11:$BN$18,MATCH(Summary!AH$1,'RA10-Codisposal Slopes'!$A$9:$BN$9,1),FALSE),0)+IFERROR(VLOOKUP($B16,'IA1-Final Void inc Ramps'!$A$11:$BN$18,MATCH(Summary!AH$1,'IA1-Final Void inc Ramps'!$A$9:$BN$9,1),FALSE),0)</f>
        <v>1574.6130000000001</v>
      </c>
      <c r="AI16" s="51">
        <f>IFERROR(VLOOKUP($B16,'RA1- Elevated Dumps Upper'!$A$11:$BN$18,MATCH(Summary!AI$1,'RA1- Elevated Dumps Upper'!$A$9:$BN$9,1),FALSE),0)+IFERROR(VLOOKUP($B16,'RA2-Elevated Dumps Slopes'!$A$11:$BN$18,MATCH(Summary!AI$1,'RA2-Elevated Dumps Slopes'!$A$9:$BN$9,1),FALSE),0)+IFERROR(VLOOKUP($B16,'RA3-Backfilled Pits'!$A$11:$BN$18,MATCH(Summary!AI$1,'RA3-Backfilled Pits'!$A$9:$BN$9,1),FALSE),0)+IFERROR(VLOOKUP($B16,'RA4-Tracks_Roads'!$A$11:$BN$18,MATCH(Summary!AI$1,'RA4-Tracks_Roads'!$A$9:$BN$9,1),FALSE),0)+IFERROR(VLOOKUP($B16,'RA5-ROM'!$A$11:$BN$18,MATCH(Summary!AI$1,'RA5-ROM'!$A$9:$BN$9,1),FALSE),0)+IFERROR(VLOOKUP($B16,'RA6-CHPP'!$A$11:$BN$18,MATCH(Summary!AI$1,'RA6-CHPP'!$A$9:$BN$9,1),FALSE),0)+IFERROR(VLOOKUP($B16,'RA7-Mine Infrastructure Area'!$A$11:$BN$18,MATCH(Summary!AI$1,'RA7-Mine Infrastructure Area'!$A$9:$BN$9,1),FALSE),0)+IFERROR(VLOOKUP($B16,'RA8-Water Management Structures'!$A$11:$BN$18,MATCH(Summary!AI$1,'RA8-Water Management Structures'!$A$9:$BN$9,1),FALSE),0)+IFERROR(VLOOKUP($B16,'RA9-Codisposal Upper'!$A$11:$BN$18,MATCH(Summary!AI$1,'RA9-Codisposal Upper'!$A$9:$BN$9,1),FALSE),0)+IFERROR(VLOOKUP($B16,'RA10-Codisposal Slopes'!$A$11:$BN$18,MATCH(Summary!AI$1,'RA10-Codisposal Slopes'!$A$9:$BN$9,1),FALSE),0)+IFERROR(VLOOKUP($B16,'IA1-Final Void inc Ramps'!$A$11:$BN$18,MATCH(Summary!AI$1,'IA1-Final Void inc Ramps'!$A$9:$BN$9,1),FALSE),0)</f>
        <v>1901.2130000000002</v>
      </c>
      <c r="AJ16" s="51">
        <f>IFERROR(VLOOKUP($B16,'RA1- Elevated Dumps Upper'!$A$11:$BN$18,MATCH(Summary!AJ$1,'RA1- Elevated Dumps Upper'!$A$9:$BN$9,1),FALSE),0)+IFERROR(VLOOKUP($B16,'RA2-Elevated Dumps Slopes'!$A$11:$BN$18,MATCH(Summary!AJ$1,'RA2-Elevated Dumps Slopes'!$A$9:$BN$9,1),FALSE),0)+IFERROR(VLOOKUP($B16,'RA3-Backfilled Pits'!$A$11:$BN$18,MATCH(Summary!AJ$1,'RA3-Backfilled Pits'!$A$9:$BN$9,1),FALSE),0)+IFERROR(VLOOKUP($B16,'RA4-Tracks_Roads'!$A$11:$BN$18,MATCH(Summary!AJ$1,'RA4-Tracks_Roads'!$A$9:$BN$9,1),FALSE),0)+IFERROR(VLOOKUP($B16,'RA5-ROM'!$A$11:$BN$18,MATCH(Summary!AJ$1,'RA5-ROM'!$A$9:$BN$9,1),FALSE),0)+IFERROR(VLOOKUP($B16,'RA6-CHPP'!$A$11:$BN$18,MATCH(Summary!AJ$1,'RA6-CHPP'!$A$9:$BN$9,1),FALSE),0)+IFERROR(VLOOKUP($B16,'RA7-Mine Infrastructure Area'!$A$11:$BN$18,MATCH(Summary!AJ$1,'RA7-Mine Infrastructure Area'!$A$9:$BN$9,1),FALSE),0)+IFERROR(VLOOKUP($B16,'RA8-Water Management Structures'!$A$11:$BN$18,MATCH(Summary!AJ$1,'RA8-Water Management Structures'!$A$9:$BN$9,1),FALSE),0)+IFERROR(VLOOKUP($B16,'RA9-Codisposal Upper'!$A$11:$BN$18,MATCH(Summary!AJ$1,'RA9-Codisposal Upper'!$A$9:$BN$9,1),FALSE),0)+IFERROR(VLOOKUP($B16,'RA10-Codisposal Slopes'!$A$11:$BN$18,MATCH(Summary!AJ$1,'RA10-Codisposal Slopes'!$A$9:$BN$9,1),FALSE),0)+IFERROR(VLOOKUP($B16,'IA1-Final Void inc Ramps'!$A$11:$BN$18,MATCH(Summary!AJ$1,'IA1-Final Void inc Ramps'!$A$9:$BN$9,1),FALSE),0)</f>
        <v>1901.2130000000002</v>
      </c>
      <c r="AK16" s="51">
        <f>IFERROR(VLOOKUP($B16,'RA1- Elevated Dumps Upper'!$A$11:$BN$18,MATCH(Summary!AK$1,'RA1- Elevated Dumps Upper'!$A$9:$BN$9,1),FALSE),0)+IFERROR(VLOOKUP($B16,'RA2-Elevated Dumps Slopes'!$A$11:$BN$18,MATCH(Summary!AK$1,'RA2-Elevated Dumps Slopes'!$A$9:$BN$9,1),FALSE),0)+IFERROR(VLOOKUP($B16,'RA3-Backfilled Pits'!$A$11:$BN$18,MATCH(Summary!AK$1,'RA3-Backfilled Pits'!$A$9:$BN$9,1),FALSE),0)+IFERROR(VLOOKUP($B16,'RA4-Tracks_Roads'!$A$11:$BN$18,MATCH(Summary!AK$1,'RA4-Tracks_Roads'!$A$9:$BN$9,1),FALSE),0)+IFERROR(VLOOKUP($B16,'RA5-ROM'!$A$11:$BN$18,MATCH(Summary!AK$1,'RA5-ROM'!$A$9:$BN$9,1),FALSE),0)+IFERROR(VLOOKUP($B16,'RA6-CHPP'!$A$11:$BN$18,MATCH(Summary!AK$1,'RA6-CHPP'!$A$9:$BN$9,1),FALSE),0)+IFERROR(VLOOKUP($B16,'RA7-Mine Infrastructure Area'!$A$11:$BN$18,MATCH(Summary!AK$1,'RA7-Mine Infrastructure Area'!$A$9:$BN$9,1),FALSE),0)+IFERROR(VLOOKUP($B16,'RA8-Water Management Structures'!$A$11:$BN$18,MATCH(Summary!AK$1,'RA8-Water Management Structures'!$A$9:$BN$9,1),FALSE),0)+IFERROR(VLOOKUP($B16,'RA9-Codisposal Upper'!$A$11:$BN$18,MATCH(Summary!AK$1,'RA9-Codisposal Upper'!$A$9:$BN$9,1),FALSE),0)+IFERROR(VLOOKUP($B16,'RA10-Codisposal Slopes'!$A$11:$BN$18,MATCH(Summary!AK$1,'RA10-Codisposal Slopes'!$A$9:$BN$9,1),FALSE),0)+IFERROR(VLOOKUP($B16,'IA1-Final Void inc Ramps'!$A$11:$BN$18,MATCH(Summary!AK$1,'IA1-Final Void inc Ramps'!$A$9:$BN$9,1),FALSE),0)</f>
        <v>1901.2130000000002</v>
      </c>
      <c r="AL16" s="51">
        <f>IFERROR(VLOOKUP($B16,'RA1- Elevated Dumps Upper'!$A$11:$BN$18,MATCH(Summary!AL$1,'RA1- Elevated Dumps Upper'!$A$9:$BN$9,1),FALSE),0)+IFERROR(VLOOKUP($B16,'RA2-Elevated Dumps Slopes'!$A$11:$BN$18,MATCH(Summary!AL$1,'RA2-Elevated Dumps Slopes'!$A$9:$BN$9,1),FALSE),0)+IFERROR(VLOOKUP($B16,'RA3-Backfilled Pits'!$A$11:$BN$18,MATCH(Summary!AL$1,'RA3-Backfilled Pits'!$A$9:$BN$9,1),FALSE),0)+IFERROR(VLOOKUP($B16,'RA4-Tracks_Roads'!$A$11:$BN$18,MATCH(Summary!AL$1,'RA4-Tracks_Roads'!$A$9:$BN$9,1),FALSE),0)+IFERROR(VLOOKUP($B16,'RA5-ROM'!$A$11:$BN$18,MATCH(Summary!AL$1,'RA5-ROM'!$A$9:$BN$9,1),FALSE),0)+IFERROR(VLOOKUP($B16,'RA6-CHPP'!$A$11:$BN$18,MATCH(Summary!AL$1,'RA6-CHPP'!$A$9:$BN$9,1),FALSE),0)+IFERROR(VLOOKUP($B16,'RA7-Mine Infrastructure Area'!$A$11:$BN$18,MATCH(Summary!AL$1,'RA7-Mine Infrastructure Area'!$A$9:$BN$9,1),FALSE),0)+IFERROR(VLOOKUP($B16,'RA8-Water Management Structures'!$A$11:$BN$18,MATCH(Summary!AL$1,'RA8-Water Management Structures'!$A$9:$BN$9,1),FALSE),0)+IFERROR(VLOOKUP($B16,'RA9-Codisposal Upper'!$A$11:$BN$18,MATCH(Summary!AL$1,'RA9-Codisposal Upper'!$A$9:$BN$9,1),FALSE),0)+IFERROR(VLOOKUP($B16,'RA10-Codisposal Slopes'!$A$11:$BN$18,MATCH(Summary!AL$1,'RA10-Codisposal Slopes'!$A$9:$BN$9,1),FALSE),0)+IFERROR(VLOOKUP($B16,'IA1-Final Void inc Ramps'!$A$11:$BN$18,MATCH(Summary!AL$1,'IA1-Final Void inc Ramps'!$A$9:$BN$9,1),FALSE),0)</f>
        <v>1901.2130000000002</v>
      </c>
      <c r="AM16" s="51">
        <f>IFERROR(VLOOKUP($B16,'RA1- Elevated Dumps Upper'!$A$11:$BN$18,MATCH(Summary!AM$1,'RA1- Elevated Dumps Upper'!$A$9:$BN$9,1),FALSE),0)+IFERROR(VLOOKUP($B16,'RA2-Elevated Dumps Slopes'!$A$11:$BN$18,MATCH(Summary!AM$1,'RA2-Elevated Dumps Slopes'!$A$9:$BN$9,1),FALSE),0)+IFERROR(VLOOKUP($B16,'RA3-Backfilled Pits'!$A$11:$BN$18,MATCH(Summary!AM$1,'RA3-Backfilled Pits'!$A$9:$BN$9,1),FALSE),0)+IFERROR(VLOOKUP($B16,'RA4-Tracks_Roads'!$A$11:$BN$18,MATCH(Summary!AM$1,'RA4-Tracks_Roads'!$A$9:$BN$9,1),FALSE),0)+IFERROR(VLOOKUP($B16,'RA5-ROM'!$A$11:$BN$18,MATCH(Summary!AM$1,'RA5-ROM'!$A$9:$BN$9,1),FALSE),0)+IFERROR(VLOOKUP($B16,'RA6-CHPP'!$A$11:$BN$18,MATCH(Summary!AM$1,'RA6-CHPP'!$A$9:$BN$9,1),FALSE),0)+IFERROR(VLOOKUP($B16,'RA7-Mine Infrastructure Area'!$A$11:$BN$18,MATCH(Summary!AM$1,'RA7-Mine Infrastructure Area'!$A$9:$BN$9,1),FALSE),0)+IFERROR(VLOOKUP($B16,'RA8-Water Management Structures'!$A$11:$BN$18,MATCH(Summary!AM$1,'RA8-Water Management Structures'!$A$9:$BN$9,1),FALSE),0)+IFERROR(VLOOKUP($B16,'RA9-Codisposal Upper'!$A$11:$BN$18,MATCH(Summary!AM$1,'RA9-Codisposal Upper'!$A$9:$BN$9,1),FALSE),0)+IFERROR(VLOOKUP($B16,'RA10-Codisposal Slopes'!$A$11:$BN$18,MATCH(Summary!AM$1,'RA10-Codisposal Slopes'!$A$9:$BN$9,1),FALSE),0)+IFERROR(VLOOKUP($B16,'IA1-Final Void inc Ramps'!$A$11:$BN$18,MATCH(Summary!AM$1,'IA1-Final Void inc Ramps'!$A$9:$BN$9,1),FALSE),0)</f>
        <v>1901.2130000000002</v>
      </c>
      <c r="AN16" s="51">
        <f>IFERROR(VLOOKUP($B16,'RA1- Elevated Dumps Upper'!$A$11:$BN$18,MATCH(Summary!AN$1,'RA1- Elevated Dumps Upper'!$A$9:$BN$9,1),FALSE),0)+IFERROR(VLOOKUP($B16,'RA2-Elevated Dumps Slopes'!$A$11:$BN$18,MATCH(Summary!AN$1,'RA2-Elevated Dumps Slopes'!$A$9:$BN$9,1),FALSE),0)+IFERROR(VLOOKUP($B16,'RA3-Backfilled Pits'!$A$11:$BN$18,MATCH(Summary!AN$1,'RA3-Backfilled Pits'!$A$9:$BN$9,1),FALSE),0)+IFERROR(VLOOKUP($B16,'RA4-Tracks_Roads'!$A$11:$BN$18,MATCH(Summary!AN$1,'RA4-Tracks_Roads'!$A$9:$BN$9,1),FALSE),0)+IFERROR(VLOOKUP($B16,'RA5-ROM'!$A$11:$BN$18,MATCH(Summary!AN$1,'RA5-ROM'!$A$9:$BN$9,1),FALSE),0)+IFERROR(VLOOKUP($B16,'RA6-CHPP'!$A$11:$BN$18,MATCH(Summary!AN$1,'RA6-CHPP'!$A$9:$BN$9,1),FALSE),0)+IFERROR(VLOOKUP($B16,'RA7-Mine Infrastructure Area'!$A$11:$BN$18,MATCH(Summary!AN$1,'RA7-Mine Infrastructure Area'!$A$9:$BN$9,1),FALSE),0)+IFERROR(VLOOKUP($B16,'RA8-Water Management Structures'!$A$11:$BN$18,MATCH(Summary!AN$1,'RA8-Water Management Structures'!$A$9:$BN$9,1),FALSE),0)+IFERROR(VLOOKUP($B16,'RA9-Codisposal Upper'!$A$11:$BN$18,MATCH(Summary!AN$1,'RA9-Codisposal Upper'!$A$9:$BN$9,1),FALSE),0)+IFERROR(VLOOKUP($B16,'RA10-Codisposal Slopes'!$A$11:$BN$18,MATCH(Summary!AN$1,'RA10-Codisposal Slopes'!$A$9:$BN$9,1),FALSE),0)+IFERROR(VLOOKUP($B16,'IA1-Final Void inc Ramps'!$A$11:$BN$18,MATCH(Summary!AN$1,'IA1-Final Void inc Ramps'!$A$9:$BN$9,1),FALSE),0)</f>
        <v>1901.2130000000002</v>
      </c>
      <c r="AO16" s="51">
        <f>IFERROR(VLOOKUP($B16,'RA1- Elevated Dumps Upper'!$A$11:$BN$18,MATCH(Summary!AO$1,'RA1- Elevated Dumps Upper'!$A$9:$BN$9,1),FALSE),0)+IFERROR(VLOOKUP($B16,'RA2-Elevated Dumps Slopes'!$A$11:$BN$18,MATCH(Summary!AO$1,'RA2-Elevated Dumps Slopes'!$A$9:$BN$9,1),FALSE),0)+IFERROR(VLOOKUP($B16,'RA3-Backfilled Pits'!$A$11:$BN$18,MATCH(Summary!AO$1,'RA3-Backfilled Pits'!$A$9:$BN$9,1),FALSE),0)+IFERROR(VLOOKUP($B16,'RA4-Tracks_Roads'!$A$11:$BN$18,MATCH(Summary!AO$1,'RA4-Tracks_Roads'!$A$9:$BN$9,1),FALSE),0)+IFERROR(VLOOKUP($B16,'RA5-ROM'!$A$11:$BN$18,MATCH(Summary!AO$1,'RA5-ROM'!$A$9:$BN$9,1),FALSE),0)+IFERROR(VLOOKUP($B16,'RA6-CHPP'!$A$11:$BN$18,MATCH(Summary!AO$1,'RA6-CHPP'!$A$9:$BN$9,1),FALSE),0)+IFERROR(VLOOKUP($B16,'RA7-Mine Infrastructure Area'!$A$11:$BN$18,MATCH(Summary!AO$1,'RA7-Mine Infrastructure Area'!$A$9:$BN$9,1),FALSE),0)+IFERROR(VLOOKUP($B16,'RA8-Water Management Structures'!$A$11:$BN$18,MATCH(Summary!AO$1,'RA8-Water Management Structures'!$A$9:$BN$9,1),FALSE),0)+IFERROR(VLOOKUP($B16,'RA9-Codisposal Upper'!$A$11:$BN$18,MATCH(Summary!AO$1,'RA9-Codisposal Upper'!$A$9:$BN$9,1),FALSE),0)+IFERROR(VLOOKUP($B16,'RA10-Codisposal Slopes'!$A$11:$BN$18,MATCH(Summary!AO$1,'RA10-Codisposal Slopes'!$A$9:$BN$9,1),FALSE),0)+IFERROR(VLOOKUP($B16,'IA1-Final Void inc Ramps'!$A$11:$BN$18,MATCH(Summary!AO$1,'IA1-Final Void inc Ramps'!$A$9:$BN$9,1),FALSE),0)</f>
        <v>1901.2130000000002</v>
      </c>
      <c r="AP16" s="51">
        <f>IFERROR(VLOOKUP($B16,'RA1- Elevated Dumps Upper'!$A$11:$BN$18,MATCH(Summary!AP$1,'RA1- Elevated Dumps Upper'!$A$9:$BN$9,1),FALSE),0)+IFERROR(VLOOKUP($B16,'RA2-Elevated Dumps Slopes'!$A$11:$BN$18,MATCH(Summary!AP$1,'RA2-Elevated Dumps Slopes'!$A$9:$BN$9,1),FALSE),0)+IFERROR(VLOOKUP($B16,'RA3-Backfilled Pits'!$A$11:$BN$18,MATCH(Summary!AP$1,'RA3-Backfilled Pits'!$A$9:$BN$9,1),FALSE),0)+IFERROR(VLOOKUP($B16,'RA4-Tracks_Roads'!$A$11:$BN$18,MATCH(Summary!AP$1,'RA4-Tracks_Roads'!$A$9:$BN$9,1),FALSE),0)+IFERROR(VLOOKUP($B16,'RA5-ROM'!$A$11:$BN$18,MATCH(Summary!AP$1,'RA5-ROM'!$A$9:$BN$9,1),FALSE),0)+IFERROR(VLOOKUP($B16,'RA6-CHPP'!$A$11:$BN$18,MATCH(Summary!AP$1,'RA6-CHPP'!$A$9:$BN$9,1),FALSE),0)+IFERROR(VLOOKUP($B16,'RA7-Mine Infrastructure Area'!$A$11:$BN$18,MATCH(Summary!AP$1,'RA7-Mine Infrastructure Area'!$A$9:$BN$9,1),FALSE),0)+IFERROR(VLOOKUP($B16,'RA8-Water Management Structures'!$A$11:$BN$18,MATCH(Summary!AP$1,'RA8-Water Management Structures'!$A$9:$BN$9,1),FALSE),0)+IFERROR(VLOOKUP($B16,'RA9-Codisposal Upper'!$A$11:$BN$18,MATCH(Summary!AP$1,'RA9-Codisposal Upper'!$A$9:$BN$9,1),FALSE),0)+IFERROR(VLOOKUP($B16,'RA10-Codisposal Slopes'!$A$11:$BN$18,MATCH(Summary!AP$1,'RA10-Codisposal Slopes'!$A$9:$BN$9,1),FALSE),0)+IFERROR(VLOOKUP($B16,'IA1-Final Void inc Ramps'!$A$11:$BN$18,MATCH(Summary!AP$1,'IA1-Final Void inc Ramps'!$A$9:$BN$9,1),FALSE),0)</f>
        <v>1901.2130000000002</v>
      </c>
      <c r="AQ16" s="51">
        <f>IFERROR(VLOOKUP($B16,'RA1- Elevated Dumps Upper'!$A$11:$BN$18,MATCH(Summary!AQ$1,'RA1- Elevated Dumps Upper'!$A$9:$BN$9,1),FALSE),0)+IFERROR(VLOOKUP($B16,'RA2-Elevated Dumps Slopes'!$A$11:$BN$18,MATCH(Summary!AQ$1,'RA2-Elevated Dumps Slopes'!$A$9:$BN$9,1),FALSE),0)+IFERROR(VLOOKUP($B16,'RA3-Backfilled Pits'!$A$11:$BN$18,MATCH(Summary!AQ$1,'RA3-Backfilled Pits'!$A$9:$BN$9,1),FALSE),0)+IFERROR(VLOOKUP($B16,'RA4-Tracks_Roads'!$A$11:$BN$18,MATCH(Summary!AQ$1,'RA4-Tracks_Roads'!$A$9:$BN$9,1),FALSE),0)+IFERROR(VLOOKUP($B16,'RA5-ROM'!$A$11:$BN$18,MATCH(Summary!AQ$1,'RA5-ROM'!$A$9:$BN$9,1),FALSE),0)+IFERROR(VLOOKUP($B16,'RA6-CHPP'!$A$11:$BN$18,MATCH(Summary!AQ$1,'RA6-CHPP'!$A$9:$BN$9,1),FALSE),0)+IFERROR(VLOOKUP($B16,'RA7-Mine Infrastructure Area'!$A$11:$BN$18,MATCH(Summary!AQ$1,'RA7-Mine Infrastructure Area'!$A$9:$BN$9,1),FALSE),0)+IFERROR(VLOOKUP($B16,'RA8-Water Management Structures'!$A$11:$BN$18,MATCH(Summary!AQ$1,'RA8-Water Management Structures'!$A$9:$BN$9,1),FALSE),0)+IFERROR(VLOOKUP($B16,'RA9-Codisposal Upper'!$A$11:$BN$18,MATCH(Summary!AQ$1,'RA9-Codisposal Upper'!$A$9:$BN$9,1),FALSE),0)+IFERROR(VLOOKUP($B16,'RA10-Codisposal Slopes'!$A$11:$BN$18,MATCH(Summary!AQ$1,'RA10-Codisposal Slopes'!$A$9:$BN$9,1),FALSE),0)+IFERROR(VLOOKUP($B16,'IA1-Final Void inc Ramps'!$A$11:$BN$18,MATCH(Summary!AQ$1,'IA1-Final Void inc Ramps'!$A$9:$BN$9,1),FALSE),0)</f>
        <v>1901.2130000000002</v>
      </c>
      <c r="AR16" s="51">
        <f>IFERROR(VLOOKUP($B16,'RA1- Elevated Dumps Upper'!$A$11:$BN$18,MATCH(Summary!AR$1,'RA1- Elevated Dumps Upper'!$A$9:$BN$9,1),FALSE),0)+IFERROR(VLOOKUP($B16,'RA2-Elevated Dumps Slopes'!$A$11:$BN$18,MATCH(Summary!AR$1,'RA2-Elevated Dumps Slopes'!$A$9:$BN$9,1),FALSE),0)+IFERROR(VLOOKUP($B16,'RA3-Backfilled Pits'!$A$11:$BN$18,MATCH(Summary!AR$1,'RA3-Backfilled Pits'!$A$9:$BN$9,1),FALSE),0)+IFERROR(VLOOKUP($B16,'RA4-Tracks_Roads'!$A$11:$BN$18,MATCH(Summary!AR$1,'RA4-Tracks_Roads'!$A$9:$BN$9,1),FALSE),0)+IFERROR(VLOOKUP($B16,'RA5-ROM'!$A$11:$BN$18,MATCH(Summary!AR$1,'RA5-ROM'!$A$9:$BN$9,1),FALSE),0)+IFERROR(VLOOKUP($B16,'RA6-CHPP'!$A$11:$BN$18,MATCH(Summary!AR$1,'RA6-CHPP'!$A$9:$BN$9,1),FALSE),0)+IFERROR(VLOOKUP($B16,'RA7-Mine Infrastructure Area'!$A$11:$BN$18,MATCH(Summary!AR$1,'RA7-Mine Infrastructure Area'!$A$9:$BN$9,1),FALSE),0)+IFERROR(VLOOKUP($B16,'RA8-Water Management Structures'!$A$11:$BN$18,MATCH(Summary!AR$1,'RA8-Water Management Structures'!$A$9:$BN$9,1),FALSE),0)+IFERROR(VLOOKUP($B16,'RA9-Codisposal Upper'!$A$11:$BN$18,MATCH(Summary!AR$1,'RA9-Codisposal Upper'!$A$9:$BN$9,1),FALSE),0)+IFERROR(VLOOKUP($B16,'RA10-Codisposal Slopes'!$A$11:$BN$18,MATCH(Summary!AR$1,'RA10-Codisposal Slopes'!$A$9:$BN$9,1),FALSE),0)+IFERROR(VLOOKUP($B16,'IA1-Final Void inc Ramps'!$A$11:$BN$18,MATCH(Summary!AR$1,'IA1-Final Void inc Ramps'!$A$9:$BN$9,1),FALSE),0)</f>
        <v>1901.2130000000002</v>
      </c>
      <c r="AS16" s="51">
        <f>IFERROR(VLOOKUP($B16,'RA1- Elevated Dumps Upper'!$A$11:$BN$18,MATCH(Summary!AS$1,'RA1- Elevated Dumps Upper'!$A$9:$BN$9,1),FALSE),0)+IFERROR(VLOOKUP($B16,'RA2-Elevated Dumps Slopes'!$A$11:$BN$18,MATCH(Summary!AS$1,'RA2-Elevated Dumps Slopes'!$A$9:$BN$9,1),FALSE),0)+IFERROR(VLOOKUP($B16,'RA3-Backfilled Pits'!$A$11:$BN$18,MATCH(Summary!AS$1,'RA3-Backfilled Pits'!$A$9:$BN$9,1),FALSE),0)+IFERROR(VLOOKUP($B16,'RA4-Tracks_Roads'!$A$11:$BN$18,MATCH(Summary!AS$1,'RA4-Tracks_Roads'!$A$9:$BN$9,1),FALSE),0)+IFERROR(VLOOKUP($B16,'RA5-ROM'!$A$11:$BN$18,MATCH(Summary!AS$1,'RA5-ROM'!$A$9:$BN$9,1),FALSE),0)+IFERROR(VLOOKUP($B16,'RA6-CHPP'!$A$11:$BN$18,MATCH(Summary!AS$1,'RA6-CHPP'!$A$9:$BN$9,1),FALSE),0)+IFERROR(VLOOKUP($B16,'RA7-Mine Infrastructure Area'!$A$11:$BN$18,MATCH(Summary!AS$1,'RA7-Mine Infrastructure Area'!$A$9:$BN$9,1),FALSE),0)+IFERROR(VLOOKUP($B16,'RA8-Water Management Structures'!$A$11:$BN$18,MATCH(Summary!AS$1,'RA8-Water Management Structures'!$A$9:$BN$9,1),FALSE),0)+IFERROR(VLOOKUP($B16,'RA9-Codisposal Upper'!$A$11:$BN$18,MATCH(Summary!AS$1,'RA9-Codisposal Upper'!$A$9:$BN$9,1),FALSE),0)+IFERROR(VLOOKUP($B16,'RA10-Codisposal Slopes'!$A$11:$BN$18,MATCH(Summary!AS$1,'RA10-Codisposal Slopes'!$A$9:$BN$9,1),FALSE),0)+IFERROR(VLOOKUP($B16,'IA1-Final Void inc Ramps'!$A$11:$BN$18,MATCH(Summary!AS$1,'IA1-Final Void inc Ramps'!$A$9:$BN$9,1),FALSE),0)</f>
        <v>1901.2130000000002</v>
      </c>
      <c r="AT16" s="51">
        <f>IFERROR(VLOOKUP($B16,'RA1- Elevated Dumps Upper'!$A$11:$BN$18,MATCH(Summary!AT$1,'RA1- Elevated Dumps Upper'!$A$9:$BN$9,1),FALSE),0)+IFERROR(VLOOKUP($B16,'RA2-Elevated Dumps Slopes'!$A$11:$BN$18,MATCH(Summary!AT$1,'RA2-Elevated Dumps Slopes'!$A$9:$BN$9,1),FALSE),0)+IFERROR(VLOOKUP($B16,'RA3-Backfilled Pits'!$A$11:$BN$18,MATCH(Summary!AT$1,'RA3-Backfilled Pits'!$A$9:$BN$9,1),FALSE),0)+IFERROR(VLOOKUP($B16,'RA4-Tracks_Roads'!$A$11:$BN$18,MATCH(Summary!AT$1,'RA4-Tracks_Roads'!$A$9:$BN$9,1),FALSE),0)+IFERROR(VLOOKUP($B16,'RA5-ROM'!$A$11:$BN$18,MATCH(Summary!AT$1,'RA5-ROM'!$A$9:$BN$9,1),FALSE),0)+IFERROR(VLOOKUP($B16,'RA6-CHPP'!$A$11:$BN$18,MATCH(Summary!AT$1,'RA6-CHPP'!$A$9:$BN$9,1),FALSE),0)+IFERROR(VLOOKUP($B16,'RA7-Mine Infrastructure Area'!$A$11:$BN$18,MATCH(Summary!AT$1,'RA7-Mine Infrastructure Area'!$A$9:$BN$9,1),FALSE),0)+IFERROR(VLOOKUP($B16,'RA8-Water Management Structures'!$A$11:$BN$18,MATCH(Summary!AT$1,'RA8-Water Management Structures'!$A$9:$BN$9,1),FALSE),0)+IFERROR(VLOOKUP($B16,'RA9-Codisposal Upper'!$A$11:$BN$18,MATCH(Summary!AT$1,'RA9-Codisposal Upper'!$A$9:$BN$9,1),FALSE),0)+IFERROR(VLOOKUP($B16,'RA10-Codisposal Slopes'!$A$11:$BN$18,MATCH(Summary!AT$1,'RA10-Codisposal Slopes'!$A$9:$BN$9,1),FALSE),0)+IFERROR(VLOOKUP($B16,'IA1-Final Void inc Ramps'!$A$11:$BN$18,MATCH(Summary!AT$1,'IA1-Final Void inc Ramps'!$A$9:$BN$9,1),FALSE),0)</f>
        <v>1901.2130000000002</v>
      </c>
      <c r="AU16" s="51">
        <f>IFERROR(VLOOKUP($B16,'RA1- Elevated Dumps Upper'!$A$11:$BN$18,MATCH(Summary!AU$1,'RA1- Elevated Dumps Upper'!$A$9:$BN$9,1),FALSE),0)+IFERROR(VLOOKUP($B16,'RA2-Elevated Dumps Slopes'!$A$11:$BN$18,MATCH(Summary!AU$1,'RA2-Elevated Dumps Slopes'!$A$9:$BN$9,1),FALSE),0)+IFERROR(VLOOKUP($B16,'RA3-Backfilled Pits'!$A$11:$BN$18,MATCH(Summary!AU$1,'RA3-Backfilled Pits'!$A$9:$BN$9,1),FALSE),0)+IFERROR(VLOOKUP($B16,'RA4-Tracks_Roads'!$A$11:$BN$18,MATCH(Summary!AU$1,'RA4-Tracks_Roads'!$A$9:$BN$9,1),FALSE),0)+IFERROR(VLOOKUP($B16,'RA5-ROM'!$A$11:$BN$18,MATCH(Summary!AU$1,'RA5-ROM'!$A$9:$BN$9,1),FALSE),0)+IFERROR(VLOOKUP($B16,'RA6-CHPP'!$A$11:$BN$18,MATCH(Summary!AU$1,'RA6-CHPP'!$A$9:$BN$9,1),FALSE),0)+IFERROR(VLOOKUP($B16,'RA7-Mine Infrastructure Area'!$A$11:$BN$18,MATCH(Summary!AU$1,'RA7-Mine Infrastructure Area'!$A$9:$BN$9,1),FALSE),0)+IFERROR(VLOOKUP($B16,'RA8-Water Management Structures'!$A$11:$BN$18,MATCH(Summary!AU$1,'RA8-Water Management Structures'!$A$9:$BN$9,1),FALSE),0)+IFERROR(VLOOKUP($B16,'RA9-Codisposal Upper'!$A$11:$BN$18,MATCH(Summary!AU$1,'RA9-Codisposal Upper'!$A$9:$BN$9,1),FALSE),0)+IFERROR(VLOOKUP($B16,'RA10-Codisposal Slopes'!$A$11:$BN$18,MATCH(Summary!AU$1,'RA10-Codisposal Slopes'!$A$9:$BN$9,1),FALSE),0)+IFERROR(VLOOKUP($B16,'IA1-Final Void inc Ramps'!$A$11:$BN$18,MATCH(Summary!AU$1,'IA1-Final Void inc Ramps'!$A$9:$BN$9,1),FALSE),0)</f>
        <v>1901.2130000000002</v>
      </c>
      <c r="AV16" s="51">
        <f>IFERROR(VLOOKUP($B16,'RA1- Elevated Dumps Upper'!$A$11:$BN$18,MATCH(Summary!AV$1,'RA1- Elevated Dumps Upper'!$A$9:$BN$9,1),FALSE),0)+IFERROR(VLOOKUP($B16,'RA2-Elevated Dumps Slopes'!$A$11:$BN$18,MATCH(Summary!AV$1,'RA2-Elevated Dumps Slopes'!$A$9:$BN$9,1),FALSE),0)+IFERROR(VLOOKUP($B16,'RA3-Backfilled Pits'!$A$11:$BN$18,MATCH(Summary!AV$1,'RA3-Backfilled Pits'!$A$9:$BN$9,1),FALSE),0)+IFERROR(VLOOKUP($B16,'RA4-Tracks_Roads'!$A$11:$BN$18,MATCH(Summary!AV$1,'RA4-Tracks_Roads'!$A$9:$BN$9,1),FALSE),0)+IFERROR(VLOOKUP($B16,'RA5-ROM'!$A$11:$BN$18,MATCH(Summary!AV$1,'RA5-ROM'!$A$9:$BN$9,1),FALSE),0)+IFERROR(VLOOKUP($B16,'RA6-CHPP'!$A$11:$BN$18,MATCH(Summary!AV$1,'RA6-CHPP'!$A$9:$BN$9,1),FALSE),0)+IFERROR(VLOOKUP($B16,'RA7-Mine Infrastructure Area'!$A$11:$BN$18,MATCH(Summary!AV$1,'RA7-Mine Infrastructure Area'!$A$9:$BN$9,1),FALSE),0)+IFERROR(VLOOKUP($B16,'RA8-Water Management Structures'!$A$11:$BN$18,MATCH(Summary!AV$1,'RA8-Water Management Structures'!$A$9:$BN$9,1),FALSE),0)+IFERROR(VLOOKUP($B16,'RA9-Codisposal Upper'!$A$11:$BN$18,MATCH(Summary!AV$1,'RA9-Codisposal Upper'!$A$9:$BN$9,1),FALSE),0)+IFERROR(VLOOKUP($B16,'RA10-Codisposal Slopes'!$A$11:$BN$18,MATCH(Summary!AV$1,'RA10-Codisposal Slopes'!$A$9:$BN$9,1),FALSE),0)+IFERROR(VLOOKUP($B16,'IA1-Final Void inc Ramps'!$A$11:$BN$18,MATCH(Summary!AV$1,'IA1-Final Void inc Ramps'!$A$9:$BN$9,1),FALSE),0)</f>
        <v>1901.2130000000002</v>
      </c>
      <c r="AW16" s="51">
        <f>IFERROR(VLOOKUP($B16,'RA1- Elevated Dumps Upper'!$A$11:$BN$18,MATCH(Summary!AW$1,'RA1- Elevated Dumps Upper'!$A$9:$BN$9,1),FALSE),0)+IFERROR(VLOOKUP($B16,'RA2-Elevated Dumps Slopes'!$A$11:$BN$18,MATCH(Summary!AW$1,'RA2-Elevated Dumps Slopes'!$A$9:$BN$9,1),FALSE),0)+IFERROR(VLOOKUP($B16,'RA3-Backfilled Pits'!$A$11:$BN$18,MATCH(Summary!AW$1,'RA3-Backfilled Pits'!$A$9:$BN$9,1),FALSE),0)+IFERROR(VLOOKUP($B16,'RA4-Tracks_Roads'!$A$11:$BN$18,MATCH(Summary!AW$1,'RA4-Tracks_Roads'!$A$9:$BN$9,1),FALSE),0)+IFERROR(VLOOKUP($B16,'RA5-ROM'!$A$11:$BN$18,MATCH(Summary!AW$1,'RA5-ROM'!$A$9:$BN$9,1),FALSE),0)+IFERROR(VLOOKUP($B16,'RA6-CHPP'!$A$11:$BN$18,MATCH(Summary!AW$1,'RA6-CHPP'!$A$9:$BN$9,1),FALSE),0)+IFERROR(VLOOKUP($B16,'RA7-Mine Infrastructure Area'!$A$11:$BN$18,MATCH(Summary!AW$1,'RA7-Mine Infrastructure Area'!$A$9:$BN$9,1),FALSE),0)+IFERROR(VLOOKUP($B16,'RA8-Water Management Structures'!$A$11:$BN$18,MATCH(Summary!AW$1,'RA8-Water Management Structures'!$A$9:$BN$9,1),FALSE),0)+IFERROR(VLOOKUP($B16,'RA9-Codisposal Upper'!$A$11:$BN$18,MATCH(Summary!AW$1,'RA9-Codisposal Upper'!$A$9:$BN$9,1),FALSE),0)+IFERROR(VLOOKUP($B16,'RA10-Codisposal Slopes'!$A$11:$BN$18,MATCH(Summary!AW$1,'RA10-Codisposal Slopes'!$A$9:$BN$9,1),FALSE),0)+IFERROR(VLOOKUP($B16,'IA1-Final Void inc Ramps'!$A$11:$BN$18,MATCH(Summary!AW$1,'IA1-Final Void inc Ramps'!$A$9:$BN$9,1),FALSE),0)</f>
        <v>1901.2130000000002</v>
      </c>
      <c r="AX16" s="51">
        <f>IFERROR(VLOOKUP($B16,'RA1- Elevated Dumps Upper'!$A$11:$BN$18,MATCH(Summary!AX$1,'RA1- Elevated Dumps Upper'!$A$9:$BN$9,1),FALSE),0)+IFERROR(VLOOKUP($B16,'RA2-Elevated Dumps Slopes'!$A$11:$BN$18,MATCH(Summary!AX$1,'RA2-Elevated Dumps Slopes'!$A$9:$BN$9,1),FALSE),0)+IFERROR(VLOOKUP($B16,'RA3-Backfilled Pits'!$A$11:$BN$18,MATCH(Summary!AX$1,'RA3-Backfilled Pits'!$A$9:$BN$9,1),FALSE),0)+IFERROR(VLOOKUP($B16,'RA4-Tracks_Roads'!$A$11:$BN$18,MATCH(Summary!AX$1,'RA4-Tracks_Roads'!$A$9:$BN$9,1),FALSE),0)+IFERROR(VLOOKUP($B16,'RA5-ROM'!$A$11:$BN$18,MATCH(Summary!AX$1,'RA5-ROM'!$A$9:$BN$9,1),FALSE),0)+IFERROR(VLOOKUP($B16,'RA6-CHPP'!$A$11:$BN$18,MATCH(Summary!AX$1,'RA6-CHPP'!$A$9:$BN$9,1),FALSE),0)+IFERROR(VLOOKUP($B16,'RA7-Mine Infrastructure Area'!$A$11:$BN$18,MATCH(Summary!AX$1,'RA7-Mine Infrastructure Area'!$A$9:$BN$9,1),FALSE),0)+IFERROR(VLOOKUP($B16,'RA8-Water Management Structures'!$A$11:$BN$18,MATCH(Summary!AX$1,'RA8-Water Management Structures'!$A$9:$BN$9,1),FALSE),0)+IFERROR(VLOOKUP($B16,'RA9-Codisposal Upper'!$A$11:$BN$18,MATCH(Summary!AX$1,'RA9-Codisposal Upper'!$A$9:$BN$9,1),FALSE),0)+IFERROR(VLOOKUP($B16,'RA10-Codisposal Slopes'!$A$11:$BN$18,MATCH(Summary!AX$1,'RA10-Codisposal Slopes'!$A$9:$BN$9,1),FALSE),0)+IFERROR(VLOOKUP($B16,'IA1-Final Void inc Ramps'!$A$11:$BN$18,MATCH(Summary!AX$1,'IA1-Final Void inc Ramps'!$A$9:$BN$9,1),FALSE),0)</f>
        <v>1901.2130000000002</v>
      </c>
      <c r="AY16" s="51">
        <f>IFERROR(VLOOKUP($B16,'RA1- Elevated Dumps Upper'!$A$11:$BN$18,MATCH(Summary!AY$1,'RA1- Elevated Dumps Upper'!$A$9:$BN$9,1),FALSE),0)+IFERROR(VLOOKUP($B16,'RA2-Elevated Dumps Slopes'!$A$11:$BN$18,MATCH(Summary!AY$1,'RA2-Elevated Dumps Slopes'!$A$9:$BN$9,1),FALSE),0)+IFERROR(VLOOKUP($B16,'RA3-Backfilled Pits'!$A$11:$BN$18,MATCH(Summary!AY$1,'RA3-Backfilled Pits'!$A$9:$BN$9,1),FALSE),0)+IFERROR(VLOOKUP($B16,'RA4-Tracks_Roads'!$A$11:$BN$18,MATCH(Summary!AY$1,'RA4-Tracks_Roads'!$A$9:$BN$9,1),FALSE),0)+IFERROR(VLOOKUP($B16,'RA5-ROM'!$A$11:$BN$18,MATCH(Summary!AY$1,'RA5-ROM'!$A$9:$BN$9,1),FALSE),0)+IFERROR(VLOOKUP($B16,'RA6-CHPP'!$A$11:$BN$18,MATCH(Summary!AY$1,'RA6-CHPP'!$A$9:$BN$9,1),FALSE),0)+IFERROR(VLOOKUP($B16,'RA7-Mine Infrastructure Area'!$A$11:$BN$18,MATCH(Summary!AY$1,'RA7-Mine Infrastructure Area'!$A$9:$BN$9,1),FALSE),0)+IFERROR(VLOOKUP($B16,'RA8-Water Management Structures'!$A$11:$BN$18,MATCH(Summary!AY$1,'RA8-Water Management Structures'!$A$9:$BN$9,1),FALSE),0)+IFERROR(VLOOKUP($B16,'RA9-Codisposal Upper'!$A$11:$BN$18,MATCH(Summary!AY$1,'RA9-Codisposal Upper'!$A$9:$BN$9,1),FALSE),0)+IFERROR(VLOOKUP($B16,'RA10-Codisposal Slopes'!$A$11:$BN$18,MATCH(Summary!AY$1,'RA10-Codisposal Slopes'!$A$9:$BN$9,1),FALSE),0)+IFERROR(VLOOKUP($B16,'IA1-Final Void inc Ramps'!$A$11:$BN$18,MATCH(Summary!AY$1,'IA1-Final Void inc Ramps'!$A$9:$BN$9,1),FALSE),0)</f>
        <v>1901.2130000000002</v>
      </c>
      <c r="AZ16" s="51">
        <f>IFERROR(VLOOKUP($B16,'RA1- Elevated Dumps Upper'!$A$11:$BN$18,MATCH(Summary!AZ$1,'RA1- Elevated Dumps Upper'!$A$9:$BN$9,1),FALSE),0)+IFERROR(VLOOKUP($B16,'RA2-Elevated Dumps Slopes'!$A$11:$BN$18,MATCH(Summary!AZ$1,'RA2-Elevated Dumps Slopes'!$A$9:$BN$9,1),FALSE),0)+IFERROR(VLOOKUP($B16,'RA3-Backfilled Pits'!$A$11:$BN$18,MATCH(Summary!AZ$1,'RA3-Backfilled Pits'!$A$9:$BN$9,1),FALSE),0)+IFERROR(VLOOKUP($B16,'RA4-Tracks_Roads'!$A$11:$BN$18,MATCH(Summary!AZ$1,'RA4-Tracks_Roads'!$A$9:$BN$9,1),FALSE),0)+IFERROR(VLOOKUP($B16,'RA5-ROM'!$A$11:$BN$18,MATCH(Summary!AZ$1,'RA5-ROM'!$A$9:$BN$9,1),FALSE),0)+IFERROR(VLOOKUP($B16,'RA6-CHPP'!$A$11:$BN$18,MATCH(Summary!AZ$1,'RA6-CHPP'!$A$9:$BN$9,1),FALSE),0)+IFERROR(VLOOKUP($B16,'RA7-Mine Infrastructure Area'!$A$11:$BN$18,MATCH(Summary!AZ$1,'RA7-Mine Infrastructure Area'!$A$9:$BN$9,1),FALSE),0)+IFERROR(VLOOKUP($B16,'RA8-Water Management Structures'!$A$11:$BN$18,MATCH(Summary!AZ$1,'RA8-Water Management Structures'!$A$9:$BN$9,1),FALSE),0)+IFERROR(VLOOKUP($B16,'RA9-Codisposal Upper'!$A$11:$BN$18,MATCH(Summary!AZ$1,'RA9-Codisposal Upper'!$A$9:$BN$9,1),FALSE),0)+IFERROR(VLOOKUP($B16,'RA10-Codisposal Slopes'!$A$11:$BN$18,MATCH(Summary!AZ$1,'RA10-Codisposal Slopes'!$A$9:$BN$9,1),FALSE),0)+IFERROR(VLOOKUP($B16,'IA1-Final Void inc Ramps'!$A$11:$BN$18,MATCH(Summary!AZ$1,'IA1-Final Void inc Ramps'!$A$9:$BN$9,1),FALSE),0)</f>
        <v>1901.2130000000002</v>
      </c>
      <c r="BA16" s="51">
        <f>IFERROR(VLOOKUP($B16,'RA1- Elevated Dumps Upper'!$A$11:$BN$18,MATCH(Summary!BA$1,'RA1- Elevated Dumps Upper'!$A$9:$BN$9,1),FALSE),0)+IFERROR(VLOOKUP($B16,'RA2-Elevated Dumps Slopes'!$A$11:$BN$18,MATCH(Summary!BA$1,'RA2-Elevated Dumps Slopes'!$A$9:$BN$9,1),FALSE),0)+IFERROR(VLOOKUP($B16,'RA3-Backfilled Pits'!$A$11:$BN$18,MATCH(Summary!BA$1,'RA3-Backfilled Pits'!$A$9:$BN$9,1),FALSE),0)+IFERROR(VLOOKUP($B16,'RA4-Tracks_Roads'!$A$11:$BN$18,MATCH(Summary!BA$1,'RA4-Tracks_Roads'!$A$9:$BN$9,1),FALSE),0)+IFERROR(VLOOKUP($B16,'RA5-ROM'!$A$11:$BN$18,MATCH(Summary!BA$1,'RA5-ROM'!$A$9:$BN$9,1),FALSE),0)+IFERROR(VLOOKUP($B16,'RA6-CHPP'!$A$11:$BN$18,MATCH(Summary!BA$1,'RA6-CHPP'!$A$9:$BN$9,1),FALSE),0)+IFERROR(VLOOKUP($B16,'RA7-Mine Infrastructure Area'!$A$11:$BN$18,MATCH(Summary!BA$1,'RA7-Mine Infrastructure Area'!$A$9:$BN$9,1),FALSE),0)+IFERROR(VLOOKUP($B16,'RA8-Water Management Structures'!$A$11:$BN$18,MATCH(Summary!BA$1,'RA8-Water Management Structures'!$A$9:$BN$9,1),FALSE),0)+IFERROR(VLOOKUP($B16,'RA9-Codisposal Upper'!$A$11:$BN$18,MATCH(Summary!BA$1,'RA9-Codisposal Upper'!$A$9:$BN$9,1),FALSE),0)+IFERROR(VLOOKUP($B16,'RA10-Codisposal Slopes'!$A$11:$BN$18,MATCH(Summary!BA$1,'RA10-Codisposal Slopes'!$A$9:$BN$9,1),FALSE),0)+IFERROR(VLOOKUP($B16,'IA1-Final Void inc Ramps'!$A$11:$BN$18,MATCH(Summary!BA$1,'IA1-Final Void inc Ramps'!$A$9:$BN$9,1),FALSE),0)</f>
        <v>1901.2130000000002</v>
      </c>
      <c r="BB16" s="51">
        <f>IFERROR(VLOOKUP($B16,'RA1- Elevated Dumps Upper'!$A$11:$BN$18,MATCH(Summary!BB$1,'RA1- Elevated Dumps Upper'!$A$9:$BN$9,1),FALSE),0)+IFERROR(VLOOKUP($B16,'RA2-Elevated Dumps Slopes'!$A$11:$BN$18,MATCH(Summary!BB$1,'RA2-Elevated Dumps Slopes'!$A$9:$BN$9,1),FALSE),0)+IFERROR(VLOOKUP($B16,'RA3-Backfilled Pits'!$A$11:$BN$18,MATCH(Summary!BB$1,'RA3-Backfilled Pits'!$A$9:$BN$9,1),FALSE),0)+IFERROR(VLOOKUP($B16,'RA4-Tracks_Roads'!$A$11:$BN$18,MATCH(Summary!BB$1,'RA4-Tracks_Roads'!$A$9:$BN$9,1),FALSE),0)+IFERROR(VLOOKUP($B16,'RA5-ROM'!$A$11:$BN$18,MATCH(Summary!BB$1,'RA5-ROM'!$A$9:$BN$9,1),FALSE),0)+IFERROR(VLOOKUP($B16,'RA6-CHPP'!$A$11:$BN$18,MATCH(Summary!BB$1,'RA6-CHPP'!$A$9:$BN$9,1),FALSE),0)+IFERROR(VLOOKUP($B16,'RA7-Mine Infrastructure Area'!$A$11:$BN$18,MATCH(Summary!BB$1,'RA7-Mine Infrastructure Area'!$A$9:$BN$9,1),FALSE),0)+IFERROR(VLOOKUP($B16,'RA8-Water Management Structures'!$A$11:$BN$18,MATCH(Summary!BB$1,'RA8-Water Management Structures'!$A$9:$BN$9,1),FALSE),0)+IFERROR(VLOOKUP($B16,'RA9-Codisposal Upper'!$A$11:$BN$18,MATCH(Summary!BB$1,'RA9-Codisposal Upper'!$A$9:$BN$9,1),FALSE),0)+IFERROR(VLOOKUP($B16,'RA10-Codisposal Slopes'!$A$11:$BN$18,MATCH(Summary!BB$1,'RA10-Codisposal Slopes'!$A$9:$BN$9,1),FALSE),0)+IFERROR(VLOOKUP($B16,'IA1-Final Void inc Ramps'!$A$11:$BN$18,MATCH(Summary!BB$1,'IA1-Final Void inc Ramps'!$A$9:$BN$9,1),FALSE),0)</f>
        <v>1901.2130000000002</v>
      </c>
      <c r="BC16" s="51">
        <f>IFERROR(VLOOKUP($B16,'RA1- Elevated Dumps Upper'!$A$11:$BN$18,MATCH(Summary!BC$1,'RA1- Elevated Dumps Upper'!$A$9:$BN$9,1),FALSE),0)+IFERROR(VLOOKUP($B16,'RA2-Elevated Dumps Slopes'!$A$11:$BN$18,MATCH(Summary!BC$1,'RA2-Elevated Dumps Slopes'!$A$9:$BN$9,1),FALSE),0)+IFERROR(VLOOKUP($B16,'RA3-Backfilled Pits'!$A$11:$BN$18,MATCH(Summary!BC$1,'RA3-Backfilled Pits'!$A$9:$BN$9,1),FALSE),0)+IFERROR(VLOOKUP($B16,'RA4-Tracks_Roads'!$A$11:$BN$18,MATCH(Summary!BC$1,'RA4-Tracks_Roads'!$A$9:$BN$9,1),FALSE),0)+IFERROR(VLOOKUP($B16,'RA5-ROM'!$A$11:$BN$18,MATCH(Summary!BC$1,'RA5-ROM'!$A$9:$BN$9,1),FALSE),0)+IFERROR(VLOOKUP($B16,'RA6-CHPP'!$A$11:$BN$18,MATCH(Summary!BC$1,'RA6-CHPP'!$A$9:$BN$9,1),FALSE),0)+IFERROR(VLOOKUP($B16,'RA7-Mine Infrastructure Area'!$A$11:$BN$18,MATCH(Summary!BC$1,'RA7-Mine Infrastructure Area'!$A$9:$BN$9,1),FALSE),0)+IFERROR(VLOOKUP($B16,'RA8-Water Management Structures'!$A$11:$BN$18,MATCH(Summary!BC$1,'RA8-Water Management Structures'!$A$9:$BN$9,1),FALSE),0)+IFERROR(VLOOKUP($B16,'RA9-Codisposal Upper'!$A$11:$BN$18,MATCH(Summary!BC$1,'RA9-Codisposal Upper'!$A$9:$BN$9,1),FALSE),0)+IFERROR(VLOOKUP($B16,'RA10-Codisposal Slopes'!$A$11:$BN$18,MATCH(Summary!BC$1,'RA10-Codisposal Slopes'!$A$9:$BN$9,1),FALSE),0)+IFERROR(VLOOKUP($B16,'IA1-Final Void inc Ramps'!$A$11:$BN$18,MATCH(Summary!BC$1,'IA1-Final Void inc Ramps'!$A$9:$BN$9,1),FALSE),0)</f>
        <v>1901.2130000000002</v>
      </c>
      <c r="BD16" s="51">
        <f>IFERROR(VLOOKUP($B16,'RA1- Elevated Dumps Upper'!$A$11:$BN$18,MATCH(Summary!BD$1,'RA1- Elevated Dumps Upper'!$A$9:$BN$9,1),FALSE),0)+IFERROR(VLOOKUP($B16,'RA2-Elevated Dumps Slopes'!$A$11:$BN$18,MATCH(Summary!BD$1,'RA2-Elevated Dumps Slopes'!$A$9:$BN$9,1),FALSE),0)+IFERROR(VLOOKUP($B16,'RA3-Backfilled Pits'!$A$11:$BN$18,MATCH(Summary!BD$1,'RA3-Backfilled Pits'!$A$9:$BN$9,1),FALSE),0)+IFERROR(VLOOKUP($B16,'RA4-Tracks_Roads'!$A$11:$BN$18,MATCH(Summary!BD$1,'RA4-Tracks_Roads'!$A$9:$BN$9,1),FALSE),0)+IFERROR(VLOOKUP($B16,'RA5-ROM'!$A$11:$BN$18,MATCH(Summary!BD$1,'RA5-ROM'!$A$9:$BN$9,1),FALSE),0)+IFERROR(VLOOKUP($B16,'RA6-CHPP'!$A$11:$BN$18,MATCH(Summary!BD$1,'RA6-CHPP'!$A$9:$BN$9,1),FALSE),0)+IFERROR(VLOOKUP($B16,'RA7-Mine Infrastructure Area'!$A$11:$BN$18,MATCH(Summary!BD$1,'RA7-Mine Infrastructure Area'!$A$9:$BN$9,1),FALSE),0)+IFERROR(VLOOKUP($B16,'RA8-Water Management Structures'!$A$11:$BN$18,MATCH(Summary!BD$1,'RA8-Water Management Structures'!$A$9:$BN$9,1),FALSE),0)+IFERROR(VLOOKUP($B16,'RA9-Codisposal Upper'!$A$11:$BN$18,MATCH(Summary!BD$1,'RA9-Codisposal Upper'!$A$9:$BN$9,1),FALSE),0)+IFERROR(VLOOKUP($B16,'RA10-Codisposal Slopes'!$A$11:$BN$18,MATCH(Summary!BD$1,'RA10-Codisposal Slopes'!$A$9:$BN$9,1),FALSE),0)+IFERROR(VLOOKUP($B16,'IA1-Final Void inc Ramps'!$A$11:$BN$18,MATCH(Summary!BD$1,'IA1-Final Void inc Ramps'!$A$9:$BN$9,1),FALSE),0)</f>
        <v>1901.2130000000002</v>
      </c>
      <c r="BE16" s="51">
        <f>IFERROR(VLOOKUP($B16,'RA1- Elevated Dumps Upper'!$A$11:$BN$18,MATCH(Summary!BE$1,'RA1- Elevated Dumps Upper'!$A$9:$BN$9,1),FALSE),0)+IFERROR(VLOOKUP($B16,'RA2-Elevated Dumps Slopes'!$A$11:$BN$18,MATCH(Summary!BE$1,'RA2-Elevated Dumps Slopes'!$A$9:$BN$9,1),FALSE),0)+IFERROR(VLOOKUP($B16,'RA3-Backfilled Pits'!$A$11:$BN$18,MATCH(Summary!BE$1,'RA3-Backfilled Pits'!$A$9:$BN$9,1),FALSE),0)+IFERROR(VLOOKUP($B16,'RA4-Tracks_Roads'!$A$11:$BN$18,MATCH(Summary!BE$1,'RA4-Tracks_Roads'!$A$9:$BN$9,1),FALSE),0)+IFERROR(VLOOKUP($B16,'RA5-ROM'!$A$11:$BN$18,MATCH(Summary!BE$1,'RA5-ROM'!$A$9:$BN$9,1),FALSE),0)+IFERROR(VLOOKUP($B16,'RA6-CHPP'!$A$11:$BN$18,MATCH(Summary!BE$1,'RA6-CHPP'!$A$9:$BN$9,1),FALSE),0)+IFERROR(VLOOKUP($B16,'RA7-Mine Infrastructure Area'!$A$11:$BN$18,MATCH(Summary!BE$1,'RA7-Mine Infrastructure Area'!$A$9:$BN$9,1),FALSE),0)+IFERROR(VLOOKUP($B16,'RA8-Water Management Structures'!$A$11:$BN$18,MATCH(Summary!BE$1,'RA8-Water Management Structures'!$A$9:$BN$9,1),FALSE),0)+IFERROR(VLOOKUP($B16,'RA9-Codisposal Upper'!$A$11:$BN$18,MATCH(Summary!BE$1,'RA9-Codisposal Upper'!$A$9:$BN$9,1),FALSE),0)+IFERROR(VLOOKUP($B16,'RA10-Codisposal Slopes'!$A$11:$BN$18,MATCH(Summary!BE$1,'RA10-Codisposal Slopes'!$A$9:$BN$9,1),FALSE),0)+IFERROR(VLOOKUP($B16,'IA1-Final Void inc Ramps'!$A$11:$BN$18,MATCH(Summary!BE$1,'IA1-Final Void inc Ramps'!$A$9:$BN$9,1),FALSE),0)</f>
        <v>1901.2130000000002</v>
      </c>
      <c r="BF16" s="51">
        <f>IFERROR(VLOOKUP($B16,'RA1- Elevated Dumps Upper'!$A$11:$BN$18,MATCH(Summary!BF$1,'RA1- Elevated Dumps Upper'!$A$9:$BN$9,1),FALSE),0)+IFERROR(VLOOKUP($B16,'RA2-Elevated Dumps Slopes'!$A$11:$BN$18,MATCH(Summary!BF$1,'RA2-Elevated Dumps Slopes'!$A$9:$BN$9,1),FALSE),0)+IFERROR(VLOOKUP($B16,'RA3-Backfilled Pits'!$A$11:$BN$18,MATCH(Summary!BF$1,'RA3-Backfilled Pits'!$A$9:$BN$9,1),FALSE),0)+IFERROR(VLOOKUP($B16,'RA4-Tracks_Roads'!$A$11:$BN$18,MATCH(Summary!BF$1,'RA4-Tracks_Roads'!$A$9:$BN$9,1),FALSE),0)+IFERROR(VLOOKUP($B16,'RA5-ROM'!$A$11:$BN$18,MATCH(Summary!BF$1,'RA5-ROM'!$A$9:$BN$9,1),FALSE),0)+IFERROR(VLOOKUP($B16,'RA6-CHPP'!$A$11:$BN$18,MATCH(Summary!BF$1,'RA6-CHPP'!$A$9:$BN$9,1),FALSE),0)+IFERROR(VLOOKUP($B16,'RA7-Mine Infrastructure Area'!$A$11:$BN$18,MATCH(Summary!BF$1,'RA7-Mine Infrastructure Area'!$A$9:$BN$9,1),FALSE),0)+IFERROR(VLOOKUP($B16,'RA8-Water Management Structures'!$A$11:$BN$18,MATCH(Summary!BF$1,'RA8-Water Management Structures'!$A$9:$BN$9,1),FALSE),0)+IFERROR(VLOOKUP($B16,'RA9-Codisposal Upper'!$A$11:$BN$18,MATCH(Summary!BF$1,'RA9-Codisposal Upper'!$A$9:$BN$9,1),FALSE),0)+IFERROR(VLOOKUP($B16,'RA10-Codisposal Slopes'!$A$11:$BN$18,MATCH(Summary!BF$1,'RA10-Codisposal Slopes'!$A$9:$BN$9,1),FALSE),0)+IFERROR(VLOOKUP($B16,'IA1-Final Void inc Ramps'!$A$11:$BN$18,MATCH(Summary!BF$1,'IA1-Final Void inc Ramps'!$A$9:$BN$9,1),FALSE),0)</f>
        <v>1901.2130000000002</v>
      </c>
      <c r="BG16" s="51">
        <f>IFERROR(VLOOKUP($B16,'RA1- Elevated Dumps Upper'!$A$11:$BN$18,MATCH(Summary!BG$1,'RA1- Elevated Dumps Upper'!$A$9:$BN$9,1),FALSE),0)+IFERROR(VLOOKUP($B16,'RA2-Elevated Dumps Slopes'!$A$11:$BN$18,MATCH(Summary!BG$1,'RA2-Elevated Dumps Slopes'!$A$9:$BN$9,1),FALSE),0)+IFERROR(VLOOKUP($B16,'RA3-Backfilled Pits'!$A$11:$BN$18,MATCH(Summary!BG$1,'RA3-Backfilled Pits'!$A$9:$BN$9,1),FALSE),0)+IFERROR(VLOOKUP($B16,'RA4-Tracks_Roads'!$A$11:$BN$18,MATCH(Summary!BG$1,'RA4-Tracks_Roads'!$A$9:$BN$9,1),FALSE),0)+IFERROR(VLOOKUP($B16,'RA5-ROM'!$A$11:$BN$18,MATCH(Summary!BG$1,'RA5-ROM'!$A$9:$BN$9,1),FALSE),0)+IFERROR(VLOOKUP($B16,'RA6-CHPP'!$A$11:$BN$18,MATCH(Summary!BG$1,'RA6-CHPP'!$A$9:$BN$9,1),FALSE),0)+IFERROR(VLOOKUP($B16,'RA7-Mine Infrastructure Area'!$A$11:$BN$18,MATCH(Summary!BG$1,'RA7-Mine Infrastructure Area'!$A$9:$BN$9,1),FALSE),0)+IFERROR(VLOOKUP($B16,'RA8-Water Management Structures'!$A$11:$BN$18,MATCH(Summary!BG$1,'RA8-Water Management Structures'!$A$9:$BN$9,1),FALSE),0)+IFERROR(VLOOKUP($B16,'RA9-Codisposal Upper'!$A$11:$BN$18,MATCH(Summary!BG$1,'RA9-Codisposal Upper'!$A$9:$BN$9,1),FALSE),0)+IFERROR(VLOOKUP($B16,'RA10-Codisposal Slopes'!$A$11:$BN$18,MATCH(Summary!BG$1,'RA10-Codisposal Slopes'!$A$9:$BN$9,1),FALSE),0)+IFERROR(VLOOKUP($B16,'IA1-Final Void inc Ramps'!$A$11:$BN$18,MATCH(Summary!BG$1,'IA1-Final Void inc Ramps'!$A$9:$BN$9,1),FALSE),0)</f>
        <v>1901.2130000000002</v>
      </c>
      <c r="BH16" s="51">
        <f>IFERROR(VLOOKUP($B16,'RA1- Elevated Dumps Upper'!$A$11:$BN$18,MATCH(Summary!BH$1,'RA1- Elevated Dumps Upper'!$A$9:$BN$9,1),FALSE),0)+IFERROR(VLOOKUP($B16,'RA2-Elevated Dumps Slopes'!$A$11:$BN$18,MATCH(Summary!BH$1,'RA2-Elevated Dumps Slopes'!$A$9:$BN$9,1),FALSE),0)+IFERROR(VLOOKUP($B16,'RA3-Backfilled Pits'!$A$11:$BN$18,MATCH(Summary!BH$1,'RA3-Backfilled Pits'!$A$9:$BN$9,1),FALSE),0)+IFERROR(VLOOKUP($B16,'RA4-Tracks_Roads'!$A$11:$BN$18,MATCH(Summary!BH$1,'RA4-Tracks_Roads'!$A$9:$BN$9,1),FALSE),0)+IFERROR(VLOOKUP($B16,'RA5-ROM'!$A$11:$BN$18,MATCH(Summary!BH$1,'RA5-ROM'!$A$9:$BN$9,1),FALSE),0)+IFERROR(VLOOKUP($B16,'RA6-CHPP'!$A$11:$BN$18,MATCH(Summary!BH$1,'RA6-CHPP'!$A$9:$BN$9,1),FALSE),0)+IFERROR(VLOOKUP($B16,'RA7-Mine Infrastructure Area'!$A$11:$BN$18,MATCH(Summary!BH$1,'RA7-Mine Infrastructure Area'!$A$9:$BN$9,1),FALSE),0)+IFERROR(VLOOKUP($B16,'RA8-Water Management Structures'!$A$11:$BN$18,MATCH(Summary!BH$1,'RA8-Water Management Structures'!$A$9:$BN$9,1),FALSE),0)+IFERROR(VLOOKUP($B16,'RA9-Codisposal Upper'!$A$11:$BN$18,MATCH(Summary!BH$1,'RA9-Codisposal Upper'!$A$9:$BN$9,1),FALSE),0)+IFERROR(VLOOKUP($B16,'RA10-Codisposal Slopes'!$A$11:$BN$18,MATCH(Summary!BH$1,'RA10-Codisposal Slopes'!$A$9:$BN$9,1),FALSE),0)+IFERROR(VLOOKUP($B16,'IA1-Final Void inc Ramps'!$A$11:$BN$18,MATCH(Summary!BH$1,'IA1-Final Void inc Ramps'!$A$9:$BN$9,1),FALSE),0)</f>
        <v>1901.2130000000002</v>
      </c>
      <c r="BI16" s="51">
        <f>IFERROR(VLOOKUP($B16,'RA1- Elevated Dumps Upper'!$A$11:$BN$18,MATCH(Summary!BI$1,'RA1- Elevated Dumps Upper'!$A$9:$BN$9,1),FALSE),0)+IFERROR(VLOOKUP($B16,'RA2-Elevated Dumps Slopes'!$A$11:$BN$18,MATCH(Summary!BI$1,'RA2-Elevated Dumps Slopes'!$A$9:$BN$9,1),FALSE),0)+IFERROR(VLOOKUP($B16,'RA3-Backfilled Pits'!$A$11:$BN$18,MATCH(Summary!BI$1,'RA3-Backfilled Pits'!$A$9:$BN$9,1),FALSE),0)+IFERROR(VLOOKUP($B16,'RA4-Tracks_Roads'!$A$11:$BN$18,MATCH(Summary!BI$1,'RA4-Tracks_Roads'!$A$9:$BN$9,1),FALSE),0)+IFERROR(VLOOKUP($B16,'RA5-ROM'!$A$11:$BN$18,MATCH(Summary!BI$1,'RA5-ROM'!$A$9:$BN$9,1),FALSE),0)+IFERROR(VLOOKUP($B16,'RA6-CHPP'!$A$11:$BN$18,MATCH(Summary!BI$1,'RA6-CHPP'!$A$9:$BN$9,1),FALSE),0)+IFERROR(VLOOKUP($B16,'RA7-Mine Infrastructure Area'!$A$11:$BN$18,MATCH(Summary!BI$1,'RA7-Mine Infrastructure Area'!$A$9:$BN$9,1),FALSE),0)+IFERROR(VLOOKUP($B16,'RA8-Water Management Structures'!$A$11:$BN$18,MATCH(Summary!BI$1,'RA8-Water Management Structures'!$A$9:$BN$9,1),FALSE),0)+IFERROR(VLOOKUP($B16,'RA9-Codisposal Upper'!$A$11:$BN$18,MATCH(Summary!BI$1,'RA9-Codisposal Upper'!$A$9:$BN$9,1),FALSE),0)+IFERROR(VLOOKUP($B16,'RA10-Codisposal Slopes'!$A$11:$BN$18,MATCH(Summary!BI$1,'RA10-Codisposal Slopes'!$A$9:$BN$9,1),FALSE),0)+IFERROR(VLOOKUP($B16,'IA1-Final Void inc Ramps'!$A$11:$BN$18,MATCH(Summary!BI$1,'IA1-Final Void inc Ramps'!$A$9:$BN$9,1),FALSE),0)</f>
        <v>1901.2130000000002</v>
      </c>
      <c r="BJ16" s="51">
        <f>IFERROR(VLOOKUP($B16,'RA1- Elevated Dumps Upper'!$A$11:$BN$18,MATCH(Summary!BJ$1,'RA1- Elevated Dumps Upper'!$A$9:$BN$9,1),FALSE),0)+IFERROR(VLOOKUP($B16,'RA2-Elevated Dumps Slopes'!$A$11:$BN$18,MATCH(Summary!BJ$1,'RA2-Elevated Dumps Slopes'!$A$9:$BN$9,1),FALSE),0)+IFERROR(VLOOKUP($B16,'RA3-Backfilled Pits'!$A$11:$BN$18,MATCH(Summary!BJ$1,'RA3-Backfilled Pits'!$A$9:$BN$9,1),FALSE),0)+IFERROR(VLOOKUP($B16,'RA4-Tracks_Roads'!$A$11:$BN$18,MATCH(Summary!BJ$1,'RA4-Tracks_Roads'!$A$9:$BN$9,1),FALSE),0)+IFERROR(VLOOKUP($B16,'RA5-ROM'!$A$11:$BN$18,MATCH(Summary!BJ$1,'RA5-ROM'!$A$9:$BN$9,1),FALSE),0)+IFERROR(VLOOKUP($B16,'RA6-CHPP'!$A$11:$BN$18,MATCH(Summary!BJ$1,'RA6-CHPP'!$A$9:$BN$9,1),FALSE),0)+IFERROR(VLOOKUP($B16,'RA7-Mine Infrastructure Area'!$A$11:$BN$18,MATCH(Summary!BJ$1,'RA7-Mine Infrastructure Area'!$A$9:$BN$9,1),FALSE),0)+IFERROR(VLOOKUP($B16,'RA8-Water Management Structures'!$A$11:$BN$18,MATCH(Summary!BJ$1,'RA8-Water Management Structures'!$A$9:$BN$9,1),FALSE),0)+IFERROR(VLOOKUP($B16,'RA9-Codisposal Upper'!$A$11:$BN$18,MATCH(Summary!BJ$1,'RA9-Codisposal Upper'!$A$9:$BN$9,1),FALSE),0)+IFERROR(VLOOKUP($B16,'RA10-Codisposal Slopes'!$A$11:$BN$18,MATCH(Summary!BJ$1,'RA10-Codisposal Slopes'!$A$9:$BN$9,1),FALSE),0)+IFERROR(VLOOKUP($B16,'IA1-Final Void inc Ramps'!$A$11:$BN$18,MATCH(Summary!BJ$1,'IA1-Final Void inc Ramps'!$A$9:$BN$9,1),FALSE),0)</f>
        <v>1901.2130000000002</v>
      </c>
      <c r="BK16" s="51">
        <f>IFERROR(VLOOKUP($B16,'RA1- Elevated Dumps Upper'!$A$11:$BN$18,MATCH(Summary!BK$1,'RA1- Elevated Dumps Upper'!$A$9:$BN$9,1),FALSE),0)+IFERROR(VLOOKUP($B16,'RA2-Elevated Dumps Slopes'!$A$11:$BN$18,MATCH(Summary!BK$1,'RA2-Elevated Dumps Slopes'!$A$9:$BN$9,1),FALSE),0)+IFERROR(VLOOKUP($B16,'RA3-Backfilled Pits'!$A$11:$BN$18,MATCH(Summary!BK$1,'RA3-Backfilled Pits'!$A$9:$BN$9,1),FALSE),0)+IFERROR(VLOOKUP($B16,'RA4-Tracks_Roads'!$A$11:$BN$18,MATCH(Summary!BK$1,'RA4-Tracks_Roads'!$A$9:$BN$9,1),FALSE),0)+IFERROR(VLOOKUP($B16,'RA5-ROM'!$A$11:$BN$18,MATCH(Summary!BK$1,'RA5-ROM'!$A$9:$BN$9,1),FALSE),0)+IFERROR(VLOOKUP($B16,'RA6-CHPP'!$A$11:$BN$18,MATCH(Summary!BK$1,'RA6-CHPP'!$A$9:$BN$9,1),FALSE),0)+IFERROR(VLOOKUP($B16,'RA7-Mine Infrastructure Area'!$A$11:$BN$18,MATCH(Summary!BK$1,'RA7-Mine Infrastructure Area'!$A$9:$BN$9,1),FALSE),0)+IFERROR(VLOOKUP($B16,'RA8-Water Management Structures'!$A$11:$BN$18,MATCH(Summary!BK$1,'RA8-Water Management Structures'!$A$9:$BN$9,1),FALSE),0)+IFERROR(VLOOKUP($B16,'RA9-Codisposal Upper'!$A$11:$BN$18,MATCH(Summary!BK$1,'RA9-Codisposal Upper'!$A$9:$BN$9,1),FALSE),0)+IFERROR(VLOOKUP($B16,'RA10-Codisposal Slopes'!$A$11:$BN$18,MATCH(Summary!BK$1,'RA10-Codisposal Slopes'!$A$9:$BN$9,1),FALSE),0)+IFERROR(VLOOKUP($B16,'IA1-Final Void inc Ramps'!$A$11:$BN$18,MATCH(Summary!BK$1,'IA1-Final Void inc Ramps'!$A$9:$BN$9,1),FALSE),0)</f>
        <v>1901.2130000000002</v>
      </c>
      <c r="BL16" s="51">
        <f>IFERROR(VLOOKUP($B16,'RA1- Elevated Dumps Upper'!$A$11:$BN$18,MATCH(Summary!BL$1,'RA1- Elevated Dumps Upper'!$A$9:$BN$9,1),FALSE),0)+IFERROR(VLOOKUP($B16,'RA2-Elevated Dumps Slopes'!$A$11:$BN$18,MATCH(Summary!BL$1,'RA2-Elevated Dumps Slopes'!$A$9:$BN$9,1),FALSE),0)+IFERROR(VLOOKUP($B16,'RA3-Backfilled Pits'!$A$11:$BN$18,MATCH(Summary!BL$1,'RA3-Backfilled Pits'!$A$9:$BN$9,1),FALSE),0)+IFERROR(VLOOKUP($B16,'RA4-Tracks_Roads'!$A$11:$BN$18,MATCH(Summary!BL$1,'RA4-Tracks_Roads'!$A$9:$BN$9,1),FALSE),0)+IFERROR(VLOOKUP($B16,'RA5-ROM'!$A$11:$BN$18,MATCH(Summary!BL$1,'RA5-ROM'!$A$9:$BN$9,1),FALSE),0)+IFERROR(VLOOKUP($B16,'RA6-CHPP'!$A$11:$BN$18,MATCH(Summary!BL$1,'RA6-CHPP'!$A$9:$BN$9,1),FALSE),0)+IFERROR(VLOOKUP($B16,'RA7-Mine Infrastructure Area'!$A$11:$BN$18,MATCH(Summary!BL$1,'RA7-Mine Infrastructure Area'!$A$9:$BN$9,1),FALSE),0)+IFERROR(VLOOKUP($B16,'RA8-Water Management Structures'!$A$11:$BN$18,MATCH(Summary!BL$1,'RA8-Water Management Structures'!$A$9:$BN$9,1),FALSE),0)+IFERROR(VLOOKUP($B16,'RA9-Codisposal Upper'!$A$11:$BN$18,MATCH(Summary!BL$1,'RA9-Codisposal Upper'!$A$9:$BN$9,1),FALSE),0)+IFERROR(VLOOKUP($B16,'RA10-Codisposal Slopes'!$A$11:$BN$18,MATCH(Summary!BL$1,'RA10-Codisposal Slopes'!$A$9:$BN$9,1),FALSE),0)+IFERROR(VLOOKUP($B16,'IA1-Final Void inc Ramps'!$A$11:$BN$18,MATCH(Summary!BL$1,'IA1-Final Void inc Ramps'!$A$9:$BN$9,1),FALSE),0)</f>
        <v>1901.2130000000002</v>
      </c>
      <c r="BM16" s="51">
        <f>IFERROR(VLOOKUP($B16,'RA1- Elevated Dumps Upper'!$A$11:$BN$18,MATCH(Summary!BM$1,'RA1- Elevated Dumps Upper'!$A$9:$BN$9,1),FALSE),0)+IFERROR(VLOOKUP($B16,'RA2-Elevated Dumps Slopes'!$A$11:$BN$18,MATCH(Summary!BM$1,'RA2-Elevated Dumps Slopes'!$A$9:$BN$9,1),FALSE),0)+IFERROR(VLOOKUP($B16,'RA3-Backfilled Pits'!$A$11:$BN$18,MATCH(Summary!BM$1,'RA3-Backfilled Pits'!$A$9:$BN$9,1),FALSE),0)+IFERROR(VLOOKUP($B16,'RA4-Tracks_Roads'!$A$11:$BN$18,MATCH(Summary!BM$1,'RA4-Tracks_Roads'!$A$9:$BN$9,1),FALSE),0)+IFERROR(VLOOKUP($B16,'RA5-ROM'!$A$11:$BN$18,MATCH(Summary!BM$1,'RA5-ROM'!$A$9:$BN$9,1),FALSE),0)+IFERROR(VLOOKUP($B16,'RA6-CHPP'!$A$11:$BN$18,MATCH(Summary!BM$1,'RA6-CHPP'!$A$9:$BN$9,1),FALSE),0)+IFERROR(VLOOKUP($B16,'RA7-Mine Infrastructure Area'!$A$11:$BN$18,MATCH(Summary!BM$1,'RA7-Mine Infrastructure Area'!$A$9:$BN$9,1),FALSE),0)+IFERROR(VLOOKUP($B16,'RA8-Water Management Structures'!$A$11:$BN$18,MATCH(Summary!BM$1,'RA8-Water Management Structures'!$A$9:$BN$9,1),FALSE),0)+IFERROR(VLOOKUP($B16,'RA9-Codisposal Upper'!$A$11:$BN$18,MATCH(Summary!BM$1,'RA9-Codisposal Upper'!$A$9:$BN$9,1),FALSE),0)+IFERROR(VLOOKUP($B16,'RA10-Codisposal Slopes'!$A$11:$BN$18,MATCH(Summary!BM$1,'RA10-Codisposal Slopes'!$A$9:$BN$9,1),FALSE),0)+IFERROR(VLOOKUP($B16,'IA1-Final Void inc Ramps'!$A$11:$BN$18,MATCH(Summary!BM$1,'IA1-Final Void inc Ramps'!$A$9:$BN$9,1),FALSE),0)</f>
        <v>1901.2130000000002</v>
      </c>
      <c r="BN16" s="51">
        <f>IFERROR(VLOOKUP($B16,'RA1- Elevated Dumps Upper'!$A$11:$BN$18,MATCH(Summary!BN$1,'RA1- Elevated Dumps Upper'!$A$9:$BN$9,1),FALSE),0)+IFERROR(VLOOKUP($B16,'RA2-Elevated Dumps Slopes'!$A$11:$BN$18,MATCH(Summary!BN$1,'RA2-Elevated Dumps Slopes'!$A$9:$BN$9,1),FALSE),0)+IFERROR(VLOOKUP($B16,'RA3-Backfilled Pits'!$A$11:$BN$18,MATCH(Summary!BN$1,'RA3-Backfilled Pits'!$A$9:$BN$9,1),FALSE),0)+IFERROR(VLOOKUP($B16,'RA4-Tracks_Roads'!$A$11:$BN$18,MATCH(Summary!BN$1,'RA4-Tracks_Roads'!$A$9:$BN$9,1),FALSE),0)+IFERROR(VLOOKUP($B16,'RA5-ROM'!$A$11:$BN$18,MATCH(Summary!BN$1,'RA5-ROM'!$A$9:$BN$9,1),FALSE),0)+IFERROR(VLOOKUP($B16,'RA6-CHPP'!$A$11:$BN$18,MATCH(Summary!BN$1,'RA6-CHPP'!$A$9:$BN$9,1),FALSE),0)+IFERROR(VLOOKUP($B16,'RA7-Mine Infrastructure Area'!$A$11:$BN$18,MATCH(Summary!BN$1,'RA7-Mine Infrastructure Area'!$A$9:$BN$9,1),FALSE),0)+IFERROR(VLOOKUP($B16,'RA8-Water Management Structures'!$A$11:$BN$18,MATCH(Summary!BN$1,'RA8-Water Management Structures'!$A$9:$BN$9,1),FALSE),0)+IFERROR(VLOOKUP($B16,'RA9-Codisposal Upper'!$A$11:$BN$18,MATCH(Summary!BN$1,'RA9-Codisposal Upper'!$A$9:$BN$9,1),FALSE),0)+IFERROR(VLOOKUP($B16,'RA10-Codisposal Slopes'!$A$11:$BN$18,MATCH(Summary!BN$1,'RA10-Codisposal Slopes'!$A$9:$BN$9,1),FALSE),0)+IFERROR(VLOOKUP($B16,'IA1-Final Void inc Ramps'!$A$11:$BN$18,MATCH(Summary!BN$1,'IA1-Final Void inc Ramps'!$A$9:$BN$9,1),FALSE),0)</f>
        <v>1901.2130000000002</v>
      </c>
    </row>
    <row r="17" spans="1:66" x14ac:dyDescent="0.35">
      <c r="B17" t="s">
        <v>10</v>
      </c>
      <c r="D17" s="51">
        <f>IFERROR(VLOOKUP($B17,'RA1- Elevated Dumps Upper'!$A$11:$BN$18,MATCH(Summary!D$1,'RA1- Elevated Dumps Upper'!$A$9:$BN$9,1),FALSE),0)+IFERROR(VLOOKUP($B17,'RA2-Elevated Dumps Slopes'!$A$11:$BN$18,MATCH(Summary!D$1,'RA2-Elevated Dumps Slopes'!$A$9:$BN$9,1),FALSE),0)+IFERROR(VLOOKUP($B17,'RA3-Backfilled Pits'!$A$11:$BN$18,MATCH(Summary!D$1,'RA3-Backfilled Pits'!$A$9:$BN$9,1),FALSE),0)+IFERROR(VLOOKUP($B17,'RA4-Tracks_Roads'!$A$11:$BN$18,MATCH(Summary!D$1,'RA4-Tracks_Roads'!$A$9:$BN$9,1),FALSE),0)+IFERROR(VLOOKUP($B17,'RA5-ROM'!$A$11:$BN$18,MATCH(Summary!D$1,'RA5-ROM'!$A$9:$BN$9,1),FALSE),0)+IFERROR(VLOOKUP($B17,'RA6-CHPP'!$A$11:$BN$18,MATCH(Summary!D$1,'RA6-CHPP'!$A$9:$BN$9,1),FALSE),0)+IFERROR(VLOOKUP($B17,'RA7-Mine Infrastructure Area'!$A$11:$BN$18,MATCH(Summary!D$1,'RA7-Mine Infrastructure Area'!$A$9:$BN$9,1),FALSE),0)+IFERROR(VLOOKUP($B17,'RA8-Water Management Structures'!$A$11:$BN$18,MATCH(Summary!D$1,'RA8-Water Management Structures'!$A$9:$BN$9,1),FALSE),0)+IFERROR(VLOOKUP($B17,'RA9-Codisposal Upper'!$A$11:$BN$18,MATCH(Summary!D$1,'RA9-Codisposal Upper'!$A$9:$BN$9,1),FALSE),0)+IFERROR(VLOOKUP($B17,'RA10-Codisposal Slopes'!$A$11:$BN$18,MATCH(Summary!D$1,'RA10-Codisposal Slopes'!$A$9:$BN$9,1),FALSE),0)+IFERROR(VLOOKUP($B17,'IA1-Final Void inc Ramps'!$A$11:$BN$18,MATCH(Summary!D$1,'IA1-Final Void inc Ramps'!$A$9:$BN$9,1),FALSE),0)</f>
        <v>0</v>
      </c>
      <c r="E17" s="51">
        <f>IFERROR(VLOOKUP($B17,'RA1- Elevated Dumps Upper'!$A$11:$BN$18,MATCH(Summary!E$1,'RA1- Elevated Dumps Upper'!$A$9:$BN$9,1),FALSE),0)+IFERROR(VLOOKUP($B17,'RA2-Elevated Dumps Slopes'!$A$11:$BN$18,MATCH(Summary!E$1,'RA2-Elevated Dumps Slopes'!$A$9:$BN$9,1),FALSE),0)+IFERROR(VLOOKUP($B17,'RA3-Backfilled Pits'!$A$11:$BN$18,MATCH(Summary!E$1,'RA3-Backfilled Pits'!$A$9:$BN$9,1),FALSE),0)+IFERROR(VLOOKUP($B17,'RA4-Tracks_Roads'!$A$11:$BN$18,MATCH(Summary!E$1,'RA4-Tracks_Roads'!$A$9:$BN$9,1),FALSE),0)+IFERROR(VLOOKUP($B17,'RA5-ROM'!$A$11:$BN$18,MATCH(Summary!E$1,'RA5-ROM'!$A$9:$BN$9,1),FALSE),0)+IFERROR(VLOOKUP($B17,'RA6-CHPP'!$A$11:$BN$18,MATCH(Summary!E$1,'RA6-CHPP'!$A$9:$BN$9,1),FALSE),0)+IFERROR(VLOOKUP($B17,'RA7-Mine Infrastructure Area'!$A$11:$BN$18,MATCH(Summary!E$1,'RA7-Mine Infrastructure Area'!$A$9:$BN$9,1),FALSE),0)+IFERROR(VLOOKUP($B17,'RA8-Water Management Structures'!$A$11:$BN$18,MATCH(Summary!E$1,'RA8-Water Management Structures'!$A$9:$BN$9,1),FALSE),0)+IFERROR(VLOOKUP($B17,'RA9-Codisposal Upper'!$A$11:$BN$18,MATCH(Summary!E$1,'RA9-Codisposal Upper'!$A$9:$BN$9,1),FALSE),0)+IFERROR(VLOOKUP($B17,'RA10-Codisposal Slopes'!$A$11:$BN$18,MATCH(Summary!E$1,'RA10-Codisposal Slopes'!$A$9:$BN$9,1),FALSE),0)+IFERROR(VLOOKUP($B17,'IA1-Final Void inc Ramps'!$A$11:$BN$18,MATCH(Summary!E$1,'IA1-Final Void inc Ramps'!$A$9:$BN$9,1),FALSE),0)</f>
        <v>0</v>
      </c>
      <c r="F17" s="51">
        <f>IFERROR(VLOOKUP($B17,'RA1- Elevated Dumps Upper'!$A$11:$BN$18,MATCH(Summary!F$1,'RA1- Elevated Dumps Upper'!$A$9:$BN$9,1),FALSE),0)+IFERROR(VLOOKUP($B17,'RA2-Elevated Dumps Slopes'!$A$11:$BN$18,MATCH(Summary!F$1,'RA2-Elevated Dumps Slopes'!$A$9:$BN$9,1),FALSE),0)+IFERROR(VLOOKUP($B17,'RA3-Backfilled Pits'!$A$11:$BN$18,MATCH(Summary!F$1,'RA3-Backfilled Pits'!$A$9:$BN$9,1),FALSE),0)+IFERROR(VLOOKUP($B17,'RA4-Tracks_Roads'!$A$11:$BN$18,MATCH(Summary!F$1,'RA4-Tracks_Roads'!$A$9:$BN$9,1),FALSE),0)+IFERROR(VLOOKUP($B17,'RA5-ROM'!$A$11:$BN$18,MATCH(Summary!F$1,'RA5-ROM'!$A$9:$BN$9,1),FALSE),0)+IFERROR(VLOOKUP($B17,'RA6-CHPP'!$A$11:$BN$18,MATCH(Summary!F$1,'RA6-CHPP'!$A$9:$BN$9,1),FALSE),0)+IFERROR(VLOOKUP($B17,'RA7-Mine Infrastructure Area'!$A$11:$BN$18,MATCH(Summary!F$1,'RA7-Mine Infrastructure Area'!$A$9:$BN$9,1),FALSE),0)+IFERROR(VLOOKUP($B17,'RA8-Water Management Structures'!$A$11:$BN$18,MATCH(Summary!F$1,'RA8-Water Management Structures'!$A$9:$BN$9,1),FALSE),0)+IFERROR(VLOOKUP($B17,'RA9-Codisposal Upper'!$A$11:$BN$18,MATCH(Summary!F$1,'RA9-Codisposal Upper'!$A$9:$BN$9,1),FALSE),0)+IFERROR(VLOOKUP($B17,'RA10-Codisposal Slopes'!$A$11:$BN$18,MATCH(Summary!F$1,'RA10-Codisposal Slopes'!$A$9:$BN$9,1),FALSE),0)+IFERROR(VLOOKUP($B17,'IA1-Final Void inc Ramps'!$A$11:$BN$18,MATCH(Summary!F$1,'IA1-Final Void inc Ramps'!$A$9:$BN$9,1),FALSE),0)</f>
        <v>0</v>
      </c>
      <c r="G17" s="51">
        <f>IFERROR(VLOOKUP($B17,'RA1- Elevated Dumps Upper'!$A$11:$BN$18,MATCH(Summary!G$1,'RA1- Elevated Dumps Upper'!$A$9:$BN$9,1),FALSE),0)+IFERROR(VLOOKUP($B17,'RA2-Elevated Dumps Slopes'!$A$11:$BN$18,MATCH(Summary!G$1,'RA2-Elevated Dumps Slopes'!$A$9:$BN$9,1),FALSE),0)+IFERROR(VLOOKUP($B17,'RA3-Backfilled Pits'!$A$11:$BN$18,MATCH(Summary!G$1,'RA3-Backfilled Pits'!$A$9:$BN$9,1),FALSE),0)+IFERROR(VLOOKUP($B17,'RA4-Tracks_Roads'!$A$11:$BN$18,MATCH(Summary!G$1,'RA4-Tracks_Roads'!$A$9:$BN$9,1),FALSE),0)+IFERROR(VLOOKUP($B17,'RA5-ROM'!$A$11:$BN$18,MATCH(Summary!G$1,'RA5-ROM'!$A$9:$BN$9,1),FALSE),0)+IFERROR(VLOOKUP($B17,'RA6-CHPP'!$A$11:$BN$18,MATCH(Summary!G$1,'RA6-CHPP'!$A$9:$BN$9,1),FALSE),0)+IFERROR(VLOOKUP($B17,'RA7-Mine Infrastructure Area'!$A$11:$BN$18,MATCH(Summary!G$1,'RA7-Mine Infrastructure Area'!$A$9:$BN$9,1),FALSE),0)+IFERROR(VLOOKUP($B17,'RA8-Water Management Structures'!$A$11:$BN$18,MATCH(Summary!G$1,'RA8-Water Management Structures'!$A$9:$BN$9,1),FALSE),0)+IFERROR(VLOOKUP($B17,'RA9-Codisposal Upper'!$A$11:$BN$18,MATCH(Summary!G$1,'RA9-Codisposal Upper'!$A$9:$BN$9,1),FALSE),0)+IFERROR(VLOOKUP($B17,'RA10-Codisposal Slopes'!$A$11:$BN$18,MATCH(Summary!G$1,'RA10-Codisposal Slopes'!$A$9:$BN$9,1),FALSE),0)+IFERROR(VLOOKUP($B17,'IA1-Final Void inc Ramps'!$A$11:$BN$18,MATCH(Summary!G$1,'IA1-Final Void inc Ramps'!$A$9:$BN$9,1),FALSE),0)</f>
        <v>0</v>
      </c>
      <c r="H17" s="51">
        <f>IFERROR(VLOOKUP($B17,'RA1- Elevated Dumps Upper'!$A$11:$BN$18,MATCH(Summary!H$1,'RA1- Elevated Dumps Upper'!$A$9:$BN$9,1),FALSE),0)+IFERROR(VLOOKUP($B17,'RA2-Elevated Dumps Slopes'!$A$11:$BN$18,MATCH(Summary!H$1,'RA2-Elevated Dumps Slopes'!$A$9:$BN$9,1),FALSE),0)+IFERROR(VLOOKUP($B17,'RA3-Backfilled Pits'!$A$11:$BN$18,MATCH(Summary!H$1,'RA3-Backfilled Pits'!$A$9:$BN$9,1),FALSE),0)+IFERROR(VLOOKUP($B17,'RA4-Tracks_Roads'!$A$11:$BN$18,MATCH(Summary!H$1,'RA4-Tracks_Roads'!$A$9:$BN$9,1),FALSE),0)+IFERROR(VLOOKUP($B17,'RA5-ROM'!$A$11:$BN$18,MATCH(Summary!H$1,'RA5-ROM'!$A$9:$BN$9,1),FALSE),0)+IFERROR(VLOOKUP($B17,'RA6-CHPP'!$A$11:$BN$18,MATCH(Summary!H$1,'RA6-CHPP'!$A$9:$BN$9,1),FALSE),0)+IFERROR(VLOOKUP($B17,'RA7-Mine Infrastructure Area'!$A$11:$BN$18,MATCH(Summary!H$1,'RA7-Mine Infrastructure Area'!$A$9:$BN$9,1),FALSE),0)+IFERROR(VLOOKUP($B17,'RA8-Water Management Structures'!$A$11:$BN$18,MATCH(Summary!H$1,'RA8-Water Management Structures'!$A$9:$BN$9,1),FALSE),0)+IFERROR(VLOOKUP($B17,'RA9-Codisposal Upper'!$A$11:$BN$18,MATCH(Summary!H$1,'RA9-Codisposal Upper'!$A$9:$BN$9,1),FALSE),0)+IFERROR(VLOOKUP($B17,'RA10-Codisposal Slopes'!$A$11:$BN$18,MATCH(Summary!H$1,'RA10-Codisposal Slopes'!$A$9:$BN$9,1),FALSE),0)+IFERROR(VLOOKUP($B17,'IA1-Final Void inc Ramps'!$A$11:$BN$18,MATCH(Summary!H$1,'IA1-Final Void inc Ramps'!$A$9:$BN$9,1),FALSE),0)</f>
        <v>0</v>
      </c>
      <c r="I17" s="51">
        <f>IFERROR(VLOOKUP($B17,'RA1- Elevated Dumps Upper'!$A$11:$BN$18,MATCH(Summary!I$1,'RA1- Elevated Dumps Upper'!$A$9:$BN$9,1),FALSE),0)+IFERROR(VLOOKUP($B17,'RA2-Elevated Dumps Slopes'!$A$11:$BN$18,MATCH(Summary!I$1,'RA2-Elevated Dumps Slopes'!$A$9:$BN$9,1),FALSE),0)+IFERROR(VLOOKUP($B17,'RA3-Backfilled Pits'!$A$11:$BN$18,MATCH(Summary!I$1,'RA3-Backfilled Pits'!$A$9:$BN$9,1),FALSE),0)+IFERROR(VLOOKUP($B17,'RA4-Tracks_Roads'!$A$11:$BN$18,MATCH(Summary!I$1,'RA4-Tracks_Roads'!$A$9:$BN$9,1),FALSE),0)+IFERROR(VLOOKUP($B17,'RA5-ROM'!$A$11:$BN$18,MATCH(Summary!I$1,'RA5-ROM'!$A$9:$BN$9,1),FALSE),0)+IFERROR(VLOOKUP($B17,'RA6-CHPP'!$A$11:$BN$18,MATCH(Summary!I$1,'RA6-CHPP'!$A$9:$BN$9,1),FALSE),0)+IFERROR(VLOOKUP($B17,'RA7-Mine Infrastructure Area'!$A$11:$BN$18,MATCH(Summary!I$1,'RA7-Mine Infrastructure Area'!$A$9:$BN$9,1),FALSE),0)+IFERROR(VLOOKUP($B17,'RA8-Water Management Structures'!$A$11:$BN$18,MATCH(Summary!I$1,'RA8-Water Management Structures'!$A$9:$BN$9,1),FALSE),0)+IFERROR(VLOOKUP($B17,'RA9-Codisposal Upper'!$A$11:$BN$18,MATCH(Summary!I$1,'RA9-Codisposal Upper'!$A$9:$BN$9,1),FALSE),0)+IFERROR(VLOOKUP($B17,'RA10-Codisposal Slopes'!$A$11:$BN$18,MATCH(Summary!I$1,'RA10-Codisposal Slopes'!$A$9:$BN$9,1),FALSE),0)+IFERROR(VLOOKUP($B17,'IA1-Final Void inc Ramps'!$A$11:$BN$18,MATCH(Summary!I$1,'IA1-Final Void inc Ramps'!$A$9:$BN$9,1),FALSE),0)</f>
        <v>0</v>
      </c>
      <c r="J17" s="51">
        <f>IFERROR(VLOOKUP($B17,'RA1- Elevated Dumps Upper'!$A$11:$BN$18,MATCH(Summary!J$1,'RA1- Elevated Dumps Upper'!$A$9:$BN$9,1),FALSE),0)+IFERROR(VLOOKUP($B17,'RA2-Elevated Dumps Slopes'!$A$11:$BN$18,MATCH(Summary!J$1,'RA2-Elevated Dumps Slopes'!$A$9:$BN$9,1),FALSE),0)+IFERROR(VLOOKUP($B17,'RA3-Backfilled Pits'!$A$11:$BN$18,MATCH(Summary!J$1,'RA3-Backfilled Pits'!$A$9:$BN$9,1),FALSE),0)+IFERROR(VLOOKUP($B17,'RA4-Tracks_Roads'!$A$11:$BN$18,MATCH(Summary!J$1,'RA4-Tracks_Roads'!$A$9:$BN$9,1),FALSE),0)+IFERROR(VLOOKUP($B17,'RA5-ROM'!$A$11:$BN$18,MATCH(Summary!J$1,'RA5-ROM'!$A$9:$BN$9,1),FALSE),0)+IFERROR(VLOOKUP($B17,'RA6-CHPP'!$A$11:$BN$18,MATCH(Summary!J$1,'RA6-CHPP'!$A$9:$BN$9,1),FALSE),0)+IFERROR(VLOOKUP($B17,'RA7-Mine Infrastructure Area'!$A$11:$BN$18,MATCH(Summary!J$1,'RA7-Mine Infrastructure Area'!$A$9:$BN$9,1),FALSE),0)+IFERROR(VLOOKUP($B17,'RA8-Water Management Structures'!$A$11:$BN$18,MATCH(Summary!J$1,'RA8-Water Management Structures'!$A$9:$BN$9,1),FALSE),0)+IFERROR(VLOOKUP($B17,'RA9-Codisposal Upper'!$A$11:$BN$18,MATCH(Summary!J$1,'RA9-Codisposal Upper'!$A$9:$BN$9,1),FALSE),0)+IFERROR(VLOOKUP($B17,'RA10-Codisposal Slopes'!$A$11:$BN$18,MATCH(Summary!J$1,'RA10-Codisposal Slopes'!$A$9:$BN$9,1),FALSE),0)+IFERROR(VLOOKUP($B17,'IA1-Final Void inc Ramps'!$A$11:$BN$18,MATCH(Summary!J$1,'IA1-Final Void inc Ramps'!$A$9:$BN$9,1),FALSE),0)</f>
        <v>0</v>
      </c>
      <c r="K17" s="51">
        <f>IFERROR(VLOOKUP($B17,'RA1- Elevated Dumps Upper'!$A$11:$BN$18,MATCH(Summary!K$1,'RA1- Elevated Dumps Upper'!$A$9:$BN$9,1),FALSE),0)+IFERROR(VLOOKUP($B17,'RA2-Elevated Dumps Slopes'!$A$11:$BN$18,MATCH(Summary!K$1,'RA2-Elevated Dumps Slopes'!$A$9:$BN$9,1),FALSE),0)+IFERROR(VLOOKUP($B17,'RA3-Backfilled Pits'!$A$11:$BN$18,MATCH(Summary!K$1,'RA3-Backfilled Pits'!$A$9:$BN$9,1),FALSE),0)+IFERROR(VLOOKUP($B17,'RA4-Tracks_Roads'!$A$11:$BN$18,MATCH(Summary!K$1,'RA4-Tracks_Roads'!$A$9:$BN$9,1),FALSE),0)+IFERROR(VLOOKUP($B17,'RA5-ROM'!$A$11:$BN$18,MATCH(Summary!K$1,'RA5-ROM'!$A$9:$BN$9,1),FALSE),0)+IFERROR(VLOOKUP($B17,'RA6-CHPP'!$A$11:$BN$18,MATCH(Summary!K$1,'RA6-CHPP'!$A$9:$BN$9,1),FALSE),0)+IFERROR(VLOOKUP($B17,'RA7-Mine Infrastructure Area'!$A$11:$BN$18,MATCH(Summary!K$1,'RA7-Mine Infrastructure Area'!$A$9:$BN$9,1),FALSE),0)+IFERROR(VLOOKUP($B17,'RA8-Water Management Structures'!$A$11:$BN$18,MATCH(Summary!K$1,'RA8-Water Management Structures'!$A$9:$BN$9,1),FALSE),0)+IFERROR(VLOOKUP($B17,'RA9-Codisposal Upper'!$A$11:$BN$18,MATCH(Summary!K$1,'RA9-Codisposal Upper'!$A$9:$BN$9,1),FALSE),0)+IFERROR(VLOOKUP($B17,'RA10-Codisposal Slopes'!$A$11:$BN$18,MATCH(Summary!K$1,'RA10-Codisposal Slopes'!$A$9:$BN$9,1),FALSE),0)+IFERROR(VLOOKUP($B17,'IA1-Final Void inc Ramps'!$A$11:$BN$18,MATCH(Summary!K$1,'IA1-Final Void inc Ramps'!$A$9:$BN$9,1),FALSE),0)</f>
        <v>0</v>
      </c>
      <c r="L17" s="51">
        <f>IFERROR(VLOOKUP($B17,'RA1- Elevated Dumps Upper'!$A$11:$BN$18,MATCH(Summary!L$1,'RA1- Elevated Dumps Upper'!$A$9:$BN$9,1),FALSE),0)+IFERROR(VLOOKUP($B17,'RA2-Elevated Dumps Slopes'!$A$11:$BN$18,MATCH(Summary!L$1,'RA2-Elevated Dumps Slopes'!$A$9:$BN$9,1),FALSE),0)+IFERROR(VLOOKUP($B17,'RA3-Backfilled Pits'!$A$11:$BN$18,MATCH(Summary!L$1,'RA3-Backfilled Pits'!$A$9:$BN$9,1),FALSE),0)+IFERROR(VLOOKUP($B17,'RA4-Tracks_Roads'!$A$11:$BN$18,MATCH(Summary!L$1,'RA4-Tracks_Roads'!$A$9:$BN$9,1),FALSE),0)+IFERROR(VLOOKUP($B17,'RA5-ROM'!$A$11:$BN$18,MATCH(Summary!L$1,'RA5-ROM'!$A$9:$BN$9,1),FALSE),0)+IFERROR(VLOOKUP($B17,'RA6-CHPP'!$A$11:$BN$18,MATCH(Summary!L$1,'RA6-CHPP'!$A$9:$BN$9,1),FALSE),0)+IFERROR(VLOOKUP($B17,'RA7-Mine Infrastructure Area'!$A$11:$BN$18,MATCH(Summary!L$1,'RA7-Mine Infrastructure Area'!$A$9:$BN$9,1),FALSE),0)+IFERROR(VLOOKUP($B17,'RA8-Water Management Structures'!$A$11:$BN$18,MATCH(Summary!L$1,'RA8-Water Management Structures'!$A$9:$BN$9,1),FALSE),0)+IFERROR(VLOOKUP($B17,'RA9-Codisposal Upper'!$A$11:$BN$18,MATCH(Summary!L$1,'RA9-Codisposal Upper'!$A$9:$BN$9,1),FALSE),0)+IFERROR(VLOOKUP($B17,'RA10-Codisposal Slopes'!$A$11:$BN$18,MATCH(Summary!L$1,'RA10-Codisposal Slopes'!$A$9:$BN$9,1),FALSE),0)+IFERROR(VLOOKUP($B17,'IA1-Final Void inc Ramps'!$A$11:$BN$18,MATCH(Summary!L$1,'IA1-Final Void inc Ramps'!$A$9:$BN$9,1),FALSE),0)</f>
        <v>0</v>
      </c>
      <c r="M17" s="51">
        <f>IFERROR(VLOOKUP($B17,'RA1- Elevated Dumps Upper'!$A$11:$BN$18,MATCH(Summary!M$1,'RA1- Elevated Dumps Upper'!$A$9:$BN$9,1),FALSE),0)+IFERROR(VLOOKUP($B17,'RA2-Elevated Dumps Slopes'!$A$11:$BN$18,MATCH(Summary!M$1,'RA2-Elevated Dumps Slopes'!$A$9:$BN$9,1),FALSE),0)+IFERROR(VLOOKUP($B17,'RA3-Backfilled Pits'!$A$11:$BN$18,MATCH(Summary!M$1,'RA3-Backfilled Pits'!$A$9:$BN$9,1),FALSE),0)+IFERROR(VLOOKUP($B17,'RA4-Tracks_Roads'!$A$11:$BN$18,MATCH(Summary!M$1,'RA4-Tracks_Roads'!$A$9:$BN$9,1),FALSE),0)+IFERROR(VLOOKUP($B17,'RA5-ROM'!$A$11:$BN$18,MATCH(Summary!M$1,'RA5-ROM'!$A$9:$BN$9,1),FALSE),0)+IFERROR(VLOOKUP($B17,'RA6-CHPP'!$A$11:$BN$18,MATCH(Summary!M$1,'RA6-CHPP'!$A$9:$BN$9,1),FALSE),0)+IFERROR(VLOOKUP($B17,'RA7-Mine Infrastructure Area'!$A$11:$BN$18,MATCH(Summary!M$1,'RA7-Mine Infrastructure Area'!$A$9:$BN$9,1),FALSE),0)+IFERROR(VLOOKUP($B17,'RA8-Water Management Structures'!$A$11:$BN$18,MATCH(Summary!M$1,'RA8-Water Management Structures'!$A$9:$BN$9,1),FALSE),0)+IFERROR(VLOOKUP($B17,'RA9-Codisposal Upper'!$A$11:$BN$18,MATCH(Summary!M$1,'RA9-Codisposal Upper'!$A$9:$BN$9,1),FALSE),0)+IFERROR(VLOOKUP($B17,'RA10-Codisposal Slopes'!$A$11:$BN$18,MATCH(Summary!M$1,'RA10-Codisposal Slopes'!$A$9:$BN$9,1),FALSE),0)+IFERROR(VLOOKUP($B17,'IA1-Final Void inc Ramps'!$A$11:$BN$18,MATCH(Summary!M$1,'IA1-Final Void inc Ramps'!$A$9:$BN$9,1),FALSE),0)</f>
        <v>0</v>
      </c>
      <c r="N17" s="51">
        <f>IFERROR(VLOOKUP($B17,'RA1- Elevated Dumps Upper'!$A$11:$BN$18,MATCH(Summary!N$1,'RA1- Elevated Dumps Upper'!$A$9:$BN$9,1),FALSE),0)+IFERROR(VLOOKUP($B17,'RA2-Elevated Dumps Slopes'!$A$11:$BN$18,MATCH(Summary!N$1,'RA2-Elevated Dumps Slopes'!$A$9:$BN$9,1),FALSE),0)+IFERROR(VLOOKUP($B17,'RA3-Backfilled Pits'!$A$11:$BN$18,MATCH(Summary!N$1,'RA3-Backfilled Pits'!$A$9:$BN$9,1),FALSE),0)+IFERROR(VLOOKUP($B17,'RA4-Tracks_Roads'!$A$11:$BN$18,MATCH(Summary!N$1,'RA4-Tracks_Roads'!$A$9:$BN$9,1),FALSE),0)+IFERROR(VLOOKUP($B17,'RA5-ROM'!$A$11:$BN$18,MATCH(Summary!N$1,'RA5-ROM'!$A$9:$BN$9,1),FALSE),0)+IFERROR(VLOOKUP($B17,'RA6-CHPP'!$A$11:$BN$18,MATCH(Summary!N$1,'RA6-CHPP'!$A$9:$BN$9,1),FALSE),0)+IFERROR(VLOOKUP($B17,'RA7-Mine Infrastructure Area'!$A$11:$BN$18,MATCH(Summary!N$1,'RA7-Mine Infrastructure Area'!$A$9:$BN$9,1),FALSE),0)+IFERROR(VLOOKUP($B17,'RA8-Water Management Structures'!$A$11:$BN$18,MATCH(Summary!N$1,'RA8-Water Management Structures'!$A$9:$BN$9,1),FALSE),0)+IFERROR(VLOOKUP($B17,'RA9-Codisposal Upper'!$A$11:$BN$18,MATCH(Summary!N$1,'RA9-Codisposal Upper'!$A$9:$BN$9,1),FALSE),0)+IFERROR(VLOOKUP($B17,'RA10-Codisposal Slopes'!$A$11:$BN$18,MATCH(Summary!N$1,'RA10-Codisposal Slopes'!$A$9:$BN$9,1),FALSE),0)+IFERROR(VLOOKUP($B17,'IA1-Final Void inc Ramps'!$A$11:$BN$18,MATCH(Summary!N$1,'IA1-Final Void inc Ramps'!$A$9:$BN$9,1),FALSE),0)</f>
        <v>0</v>
      </c>
      <c r="O17" s="51">
        <f>IFERROR(VLOOKUP($B17,'RA1- Elevated Dumps Upper'!$A$11:$BN$18,MATCH(Summary!O$1,'RA1- Elevated Dumps Upper'!$A$9:$BN$9,1),FALSE),0)+IFERROR(VLOOKUP($B17,'RA2-Elevated Dumps Slopes'!$A$11:$BN$18,MATCH(Summary!O$1,'RA2-Elevated Dumps Slopes'!$A$9:$BN$9,1),FALSE),0)+IFERROR(VLOOKUP($B17,'RA3-Backfilled Pits'!$A$11:$BN$18,MATCH(Summary!O$1,'RA3-Backfilled Pits'!$A$9:$BN$9,1),FALSE),0)+IFERROR(VLOOKUP($B17,'RA4-Tracks_Roads'!$A$11:$BN$18,MATCH(Summary!O$1,'RA4-Tracks_Roads'!$A$9:$BN$9,1),FALSE),0)+IFERROR(VLOOKUP($B17,'RA5-ROM'!$A$11:$BN$18,MATCH(Summary!O$1,'RA5-ROM'!$A$9:$BN$9,1),FALSE),0)+IFERROR(VLOOKUP($B17,'RA6-CHPP'!$A$11:$BN$18,MATCH(Summary!O$1,'RA6-CHPP'!$A$9:$BN$9,1),FALSE),0)+IFERROR(VLOOKUP($B17,'RA7-Mine Infrastructure Area'!$A$11:$BN$18,MATCH(Summary!O$1,'RA7-Mine Infrastructure Area'!$A$9:$BN$9,1),FALSE),0)+IFERROR(VLOOKUP($B17,'RA8-Water Management Structures'!$A$11:$BN$18,MATCH(Summary!O$1,'RA8-Water Management Structures'!$A$9:$BN$9,1),FALSE),0)+IFERROR(VLOOKUP($B17,'RA9-Codisposal Upper'!$A$11:$BN$18,MATCH(Summary!O$1,'RA9-Codisposal Upper'!$A$9:$BN$9,1),FALSE),0)+IFERROR(VLOOKUP($B17,'RA10-Codisposal Slopes'!$A$11:$BN$18,MATCH(Summary!O$1,'RA10-Codisposal Slopes'!$A$9:$BN$9,1),FALSE),0)+IFERROR(VLOOKUP($B17,'IA1-Final Void inc Ramps'!$A$11:$BN$18,MATCH(Summary!O$1,'IA1-Final Void inc Ramps'!$A$9:$BN$9,1),FALSE),0)</f>
        <v>0</v>
      </c>
      <c r="P17" s="51">
        <f>IFERROR(VLOOKUP($B17,'RA1- Elevated Dumps Upper'!$A$11:$BN$18,MATCH(Summary!P$1,'RA1- Elevated Dumps Upper'!$A$9:$BN$9,1),FALSE),0)+IFERROR(VLOOKUP($B17,'RA2-Elevated Dumps Slopes'!$A$11:$BN$18,MATCH(Summary!P$1,'RA2-Elevated Dumps Slopes'!$A$9:$BN$9,1),FALSE),0)+IFERROR(VLOOKUP($B17,'RA3-Backfilled Pits'!$A$11:$BN$18,MATCH(Summary!P$1,'RA3-Backfilled Pits'!$A$9:$BN$9,1),FALSE),0)+IFERROR(VLOOKUP($B17,'RA4-Tracks_Roads'!$A$11:$BN$18,MATCH(Summary!P$1,'RA4-Tracks_Roads'!$A$9:$BN$9,1),FALSE),0)+IFERROR(VLOOKUP($B17,'RA5-ROM'!$A$11:$BN$18,MATCH(Summary!P$1,'RA5-ROM'!$A$9:$BN$9,1),FALSE),0)+IFERROR(VLOOKUP($B17,'RA6-CHPP'!$A$11:$BN$18,MATCH(Summary!P$1,'RA6-CHPP'!$A$9:$BN$9,1),FALSE),0)+IFERROR(VLOOKUP($B17,'RA7-Mine Infrastructure Area'!$A$11:$BN$18,MATCH(Summary!P$1,'RA7-Mine Infrastructure Area'!$A$9:$BN$9,1),FALSE),0)+IFERROR(VLOOKUP($B17,'RA8-Water Management Structures'!$A$11:$BN$18,MATCH(Summary!P$1,'RA8-Water Management Structures'!$A$9:$BN$9,1),FALSE),0)+IFERROR(VLOOKUP($B17,'RA9-Codisposal Upper'!$A$11:$BN$18,MATCH(Summary!P$1,'RA9-Codisposal Upper'!$A$9:$BN$9,1),FALSE),0)+IFERROR(VLOOKUP($B17,'RA10-Codisposal Slopes'!$A$11:$BN$18,MATCH(Summary!P$1,'RA10-Codisposal Slopes'!$A$9:$BN$9,1),FALSE),0)+IFERROR(VLOOKUP($B17,'IA1-Final Void inc Ramps'!$A$11:$BN$18,MATCH(Summary!P$1,'IA1-Final Void inc Ramps'!$A$9:$BN$9,1),FALSE),0)</f>
        <v>0</v>
      </c>
      <c r="Q17" s="51">
        <f>IFERROR(VLOOKUP($B17,'RA1- Elevated Dumps Upper'!$A$11:$BN$18,MATCH(Summary!Q$1,'RA1- Elevated Dumps Upper'!$A$9:$BN$9,1),FALSE),0)+IFERROR(VLOOKUP($B17,'RA2-Elevated Dumps Slopes'!$A$11:$BN$18,MATCH(Summary!Q$1,'RA2-Elevated Dumps Slopes'!$A$9:$BN$9,1),FALSE),0)+IFERROR(VLOOKUP($B17,'RA3-Backfilled Pits'!$A$11:$BN$18,MATCH(Summary!Q$1,'RA3-Backfilled Pits'!$A$9:$BN$9,1),FALSE),0)+IFERROR(VLOOKUP($B17,'RA4-Tracks_Roads'!$A$11:$BN$18,MATCH(Summary!Q$1,'RA4-Tracks_Roads'!$A$9:$BN$9,1),FALSE),0)+IFERROR(VLOOKUP($B17,'RA5-ROM'!$A$11:$BN$18,MATCH(Summary!Q$1,'RA5-ROM'!$A$9:$BN$9,1),FALSE),0)+IFERROR(VLOOKUP($B17,'RA6-CHPP'!$A$11:$BN$18,MATCH(Summary!Q$1,'RA6-CHPP'!$A$9:$BN$9,1),FALSE),0)+IFERROR(VLOOKUP($B17,'RA7-Mine Infrastructure Area'!$A$11:$BN$18,MATCH(Summary!Q$1,'RA7-Mine Infrastructure Area'!$A$9:$BN$9,1),FALSE),0)+IFERROR(VLOOKUP($B17,'RA8-Water Management Structures'!$A$11:$BN$18,MATCH(Summary!Q$1,'RA8-Water Management Structures'!$A$9:$BN$9,1),FALSE),0)+IFERROR(VLOOKUP($B17,'RA9-Codisposal Upper'!$A$11:$BN$18,MATCH(Summary!Q$1,'RA9-Codisposal Upper'!$A$9:$BN$9,1),FALSE),0)+IFERROR(VLOOKUP($B17,'RA10-Codisposal Slopes'!$A$11:$BN$18,MATCH(Summary!Q$1,'RA10-Codisposal Slopes'!$A$9:$BN$9,1),FALSE),0)+IFERROR(VLOOKUP($B17,'IA1-Final Void inc Ramps'!$A$11:$BN$18,MATCH(Summary!Q$1,'IA1-Final Void inc Ramps'!$A$9:$BN$9,1),FALSE),0)</f>
        <v>0</v>
      </c>
      <c r="R17" s="51">
        <f>IFERROR(VLOOKUP($B17,'RA1- Elevated Dumps Upper'!$A$11:$BN$18,MATCH(Summary!R$1,'RA1- Elevated Dumps Upper'!$A$9:$BN$9,1),FALSE),0)+IFERROR(VLOOKUP($B17,'RA2-Elevated Dumps Slopes'!$A$11:$BN$18,MATCH(Summary!R$1,'RA2-Elevated Dumps Slopes'!$A$9:$BN$9,1),FALSE),0)+IFERROR(VLOOKUP($B17,'RA3-Backfilled Pits'!$A$11:$BN$18,MATCH(Summary!R$1,'RA3-Backfilled Pits'!$A$9:$BN$9,1),FALSE),0)+IFERROR(VLOOKUP($B17,'RA4-Tracks_Roads'!$A$11:$BN$18,MATCH(Summary!R$1,'RA4-Tracks_Roads'!$A$9:$BN$9,1),FALSE),0)+IFERROR(VLOOKUP($B17,'RA5-ROM'!$A$11:$BN$18,MATCH(Summary!R$1,'RA5-ROM'!$A$9:$BN$9,1),FALSE),0)+IFERROR(VLOOKUP($B17,'RA6-CHPP'!$A$11:$BN$18,MATCH(Summary!R$1,'RA6-CHPP'!$A$9:$BN$9,1),FALSE),0)+IFERROR(VLOOKUP($B17,'RA7-Mine Infrastructure Area'!$A$11:$BN$18,MATCH(Summary!R$1,'RA7-Mine Infrastructure Area'!$A$9:$BN$9,1),FALSE),0)+IFERROR(VLOOKUP($B17,'RA8-Water Management Structures'!$A$11:$BN$18,MATCH(Summary!R$1,'RA8-Water Management Structures'!$A$9:$BN$9,1),FALSE),0)+IFERROR(VLOOKUP($B17,'RA9-Codisposal Upper'!$A$11:$BN$18,MATCH(Summary!R$1,'RA9-Codisposal Upper'!$A$9:$BN$9,1),FALSE),0)+IFERROR(VLOOKUP($B17,'RA10-Codisposal Slopes'!$A$11:$BN$18,MATCH(Summary!R$1,'RA10-Codisposal Slopes'!$A$9:$BN$9,1),FALSE),0)+IFERROR(VLOOKUP($B17,'IA1-Final Void inc Ramps'!$A$11:$BN$18,MATCH(Summary!R$1,'IA1-Final Void inc Ramps'!$A$9:$BN$9,1),FALSE),0)</f>
        <v>0</v>
      </c>
      <c r="S17" s="51">
        <f>IFERROR(VLOOKUP($B17,'RA1- Elevated Dumps Upper'!$A$11:$BN$18,MATCH(Summary!S$1,'RA1- Elevated Dumps Upper'!$A$9:$BN$9,1),FALSE),0)+IFERROR(VLOOKUP($B17,'RA2-Elevated Dumps Slopes'!$A$11:$BN$18,MATCH(Summary!S$1,'RA2-Elevated Dumps Slopes'!$A$9:$BN$9,1),FALSE),0)+IFERROR(VLOOKUP($B17,'RA3-Backfilled Pits'!$A$11:$BN$18,MATCH(Summary!S$1,'RA3-Backfilled Pits'!$A$9:$BN$9,1),FALSE),0)+IFERROR(VLOOKUP($B17,'RA4-Tracks_Roads'!$A$11:$BN$18,MATCH(Summary!S$1,'RA4-Tracks_Roads'!$A$9:$BN$9,1),FALSE),0)+IFERROR(VLOOKUP($B17,'RA5-ROM'!$A$11:$BN$18,MATCH(Summary!S$1,'RA5-ROM'!$A$9:$BN$9,1),FALSE),0)+IFERROR(VLOOKUP($B17,'RA6-CHPP'!$A$11:$BN$18,MATCH(Summary!S$1,'RA6-CHPP'!$A$9:$BN$9,1),FALSE),0)+IFERROR(VLOOKUP($B17,'RA7-Mine Infrastructure Area'!$A$11:$BN$18,MATCH(Summary!S$1,'RA7-Mine Infrastructure Area'!$A$9:$BN$9,1),FALSE),0)+IFERROR(VLOOKUP($B17,'RA8-Water Management Structures'!$A$11:$BN$18,MATCH(Summary!S$1,'RA8-Water Management Structures'!$A$9:$BN$9,1),FALSE),0)+IFERROR(VLOOKUP($B17,'RA9-Codisposal Upper'!$A$11:$BN$18,MATCH(Summary!S$1,'RA9-Codisposal Upper'!$A$9:$BN$9,1),FALSE),0)+IFERROR(VLOOKUP($B17,'RA10-Codisposal Slopes'!$A$11:$BN$18,MATCH(Summary!S$1,'RA10-Codisposal Slopes'!$A$9:$BN$9,1),FALSE),0)+IFERROR(VLOOKUP($B17,'IA1-Final Void inc Ramps'!$A$11:$BN$18,MATCH(Summary!S$1,'IA1-Final Void inc Ramps'!$A$9:$BN$9,1),FALSE),0)</f>
        <v>0</v>
      </c>
      <c r="T17" s="51">
        <f>IFERROR(VLOOKUP($B17,'RA1- Elevated Dumps Upper'!$A$11:$BN$18,MATCH(Summary!T$1,'RA1- Elevated Dumps Upper'!$A$9:$BN$9,1),FALSE),0)+IFERROR(VLOOKUP($B17,'RA2-Elevated Dumps Slopes'!$A$11:$BN$18,MATCH(Summary!T$1,'RA2-Elevated Dumps Slopes'!$A$9:$BN$9,1),FALSE),0)+IFERROR(VLOOKUP($B17,'RA3-Backfilled Pits'!$A$11:$BN$18,MATCH(Summary!T$1,'RA3-Backfilled Pits'!$A$9:$BN$9,1),FALSE),0)+IFERROR(VLOOKUP($B17,'RA4-Tracks_Roads'!$A$11:$BN$18,MATCH(Summary!T$1,'RA4-Tracks_Roads'!$A$9:$BN$9,1),FALSE),0)+IFERROR(VLOOKUP($B17,'RA5-ROM'!$A$11:$BN$18,MATCH(Summary!T$1,'RA5-ROM'!$A$9:$BN$9,1),FALSE),0)+IFERROR(VLOOKUP($B17,'RA6-CHPP'!$A$11:$BN$18,MATCH(Summary!T$1,'RA6-CHPP'!$A$9:$BN$9,1),FALSE),0)+IFERROR(VLOOKUP($B17,'RA7-Mine Infrastructure Area'!$A$11:$BN$18,MATCH(Summary!T$1,'RA7-Mine Infrastructure Area'!$A$9:$BN$9,1),FALSE),0)+IFERROR(VLOOKUP($B17,'RA8-Water Management Structures'!$A$11:$BN$18,MATCH(Summary!T$1,'RA8-Water Management Structures'!$A$9:$BN$9,1),FALSE),0)+IFERROR(VLOOKUP($B17,'RA9-Codisposal Upper'!$A$11:$BN$18,MATCH(Summary!T$1,'RA9-Codisposal Upper'!$A$9:$BN$9,1),FALSE),0)+IFERROR(VLOOKUP($B17,'RA10-Codisposal Slopes'!$A$11:$BN$18,MATCH(Summary!T$1,'RA10-Codisposal Slopes'!$A$9:$BN$9,1),FALSE),0)+IFERROR(VLOOKUP($B17,'IA1-Final Void inc Ramps'!$A$11:$BN$18,MATCH(Summary!T$1,'IA1-Final Void inc Ramps'!$A$9:$BN$9,1),FALSE),0)</f>
        <v>0</v>
      </c>
      <c r="U17" s="51">
        <f>IFERROR(VLOOKUP($B17,'RA1- Elevated Dumps Upper'!$A$11:$BN$18,MATCH(Summary!U$1,'RA1- Elevated Dumps Upper'!$A$9:$BN$9,1),FALSE),0)+IFERROR(VLOOKUP($B17,'RA2-Elevated Dumps Slopes'!$A$11:$BN$18,MATCH(Summary!U$1,'RA2-Elevated Dumps Slopes'!$A$9:$BN$9,1),FALSE),0)+IFERROR(VLOOKUP($B17,'RA3-Backfilled Pits'!$A$11:$BN$18,MATCH(Summary!U$1,'RA3-Backfilled Pits'!$A$9:$BN$9,1),FALSE),0)+IFERROR(VLOOKUP($B17,'RA4-Tracks_Roads'!$A$11:$BN$18,MATCH(Summary!U$1,'RA4-Tracks_Roads'!$A$9:$BN$9,1),FALSE),0)+IFERROR(VLOOKUP($B17,'RA5-ROM'!$A$11:$BN$18,MATCH(Summary!U$1,'RA5-ROM'!$A$9:$BN$9,1),FALSE),0)+IFERROR(VLOOKUP($B17,'RA6-CHPP'!$A$11:$BN$18,MATCH(Summary!U$1,'RA6-CHPP'!$A$9:$BN$9,1),FALSE),0)+IFERROR(VLOOKUP($B17,'RA7-Mine Infrastructure Area'!$A$11:$BN$18,MATCH(Summary!U$1,'RA7-Mine Infrastructure Area'!$A$9:$BN$9,1),FALSE),0)+IFERROR(VLOOKUP($B17,'RA8-Water Management Structures'!$A$11:$BN$18,MATCH(Summary!U$1,'RA8-Water Management Structures'!$A$9:$BN$9,1),FALSE),0)+IFERROR(VLOOKUP($B17,'RA9-Codisposal Upper'!$A$11:$BN$18,MATCH(Summary!U$1,'RA9-Codisposal Upper'!$A$9:$BN$9,1),FALSE),0)+IFERROR(VLOOKUP($B17,'RA10-Codisposal Slopes'!$A$11:$BN$18,MATCH(Summary!U$1,'RA10-Codisposal Slopes'!$A$9:$BN$9,1),FALSE),0)+IFERROR(VLOOKUP($B17,'IA1-Final Void inc Ramps'!$A$11:$BN$18,MATCH(Summary!U$1,'IA1-Final Void inc Ramps'!$A$9:$BN$9,1),FALSE),0)</f>
        <v>0</v>
      </c>
      <c r="V17" s="51">
        <f>IFERROR(VLOOKUP($B17,'RA1- Elevated Dumps Upper'!$A$11:$BN$18,MATCH(Summary!V$1,'RA1- Elevated Dumps Upper'!$A$9:$BN$9,1),FALSE),0)+IFERROR(VLOOKUP($B17,'RA2-Elevated Dumps Slopes'!$A$11:$BN$18,MATCH(Summary!V$1,'RA2-Elevated Dumps Slopes'!$A$9:$BN$9,1),FALSE),0)+IFERROR(VLOOKUP($B17,'RA3-Backfilled Pits'!$A$11:$BN$18,MATCH(Summary!V$1,'RA3-Backfilled Pits'!$A$9:$BN$9,1),FALSE),0)+IFERROR(VLOOKUP($B17,'RA4-Tracks_Roads'!$A$11:$BN$18,MATCH(Summary!V$1,'RA4-Tracks_Roads'!$A$9:$BN$9,1),FALSE),0)+IFERROR(VLOOKUP($B17,'RA5-ROM'!$A$11:$BN$18,MATCH(Summary!V$1,'RA5-ROM'!$A$9:$BN$9,1),FALSE),0)+IFERROR(VLOOKUP($B17,'RA6-CHPP'!$A$11:$BN$18,MATCH(Summary!V$1,'RA6-CHPP'!$A$9:$BN$9,1),FALSE),0)+IFERROR(VLOOKUP($B17,'RA7-Mine Infrastructure Area'!$A$11:$BN$18,MATCH(Summary!V$1,'RA7-Mine Infrastructure Area'!$A$9:$BN$9,1),FALSE),0)+IFERROR(VLOOKUP($B17,'RA8-Water Management Structures'!$A$11:$BN$18,MATCH(Summary!V$1,'RA8-Water Management Structures'!$A$9:$BN$9,1),FALSE),0)+IFERROR(VLOOKUP($B17,'RA9-Codisposal Upper'!$A$11:$BN$18,MATCH(Summary!V$1,'RA9-Codisposal Upper'!$A$9:$BN$9,1),FALSE),0)+IFERROR(VLOOKUP($B17,'RA10-Codisposal Slopes'!$A$11:$BN$18,MATCH(Summary!V$1,'RA10-Codisposal Slopes'!$A$9:$BN$9,1),FALSE),0)+IFERROR(VLOOKUP($B17,'IA1-Final Void inc Ramps'!$A$11:$BN$18,MATCH(Summary!V$1,'IA1-Final Void inc Ramps'!$A$9:$BN$9,1),FALSE),0)</f>
        <v>0</v>
      </c>
      <c r="W17" s="51">
        <f>IFERROR(VLOOKUP($B17,'RA1- Elevated Dumps Upper'!$A$11:$BN$18,MATCH(Summary!W$1,'RA1- Elevated Dumps Upper'!$A$9:$BN$9,1),FALSE),0)+IFERROR(VLOOKUP($B17,'RA2-Elevated Dumps Slopes'!$A$11:$BN$18,MATCH(Summary!W$1,'RA2-Elevated Dumps Slopes'!$A$9:$BN$9,1),FALSE),0)+IFERROR(VLOOKUP($B17,'RA3-Backfilled Pits'!$A$11:$BN$18,MATCH(Summary!W$1,'RA3-Backfilled Pits'!$A$9:$BN$9,1),FALSE),0)+IFERROR(VLOOKUP($B17,'RA4-Tracks_Roads'!$A$11:$BN$18,MATCH(Summary!W$1,'RA4-Tracks_Roads'!$A$9:$BN$9,1),FALSE),0)+IFERROR(VLOOKUP($B17,'RA5-ROM'!$A$11:$BN$18,MATCH(Summary!W$1,'RA5-ROM'!$A$9:$BN$9,1),FALSE),0)+IFERROR(VLOOKUP($B17,'RA6-CHPP'!$A$11:$BN$18,MATCH(Summary!W$1,'RA6-CHPP'!$A$9:$BN$9,1),FALSE),0)+IFERROR(VLOOKUP($B17,'RA7-Mine Infrastructure Area'!$A$11:$BN$18,MATCH(Summary!W$1,'RA7-Mine Infrastructure Area'!$A$9:$BN$9,1),FALSE),0)+IFERROR(VLOOKUP($B17,'RA8-Water Management Structures'!$A$11:$BN$18,MATCH(Summary!W$1,'RA8-Water Management Structures'!$A$9:$BN$9,1),FALSE),0)+IFERROR(VLOOKUP($B17,'RA9-Codisposal Upper'!$A$11:$BN$18,MATCH(Summary!W$1,'RA9-Codisposal Upper'!$A$9:$BN$9,1),FALSE),0)+IFERROR(VLOOKUP($B17,'RA10-Codisposal Slopes'!$A$11:$BN$18,MATCH(Summary!W$1,'RA10-Codisposal Slopes'!$A$9:$BN$9,1),FALSE),0)+IFERROR(VLOOKUP($B17,'IA1-Final Void inc Ramps'!$A$11:$BN$18,MATCH(Summary!W$1,'IA1-Final Void inc Ramps'!$A$9:$BN$9,1),FALSE),0)</f>
        <v>0</v>
      </c>
      <c r="X17" s="51">
        <f>IFERROR(VLOOKUP($B17,'RA1- Elevated Dumps Upper'!$A$11:$BN$18,MATCH(Summary!X$1,'RA1- Elevated Dumps Upper'!$A$9:$BN$9,1),FALSE),0)+IFERROR(VLOOKUP($B17,'RA2-Elevated Dumps Slopes'!$A$11:$BN$18,MATCH(Summary!X$1,'RA2-Elevated Dumps Slopes'!$A$9:$BN$9,1),FALSE),0)+IFERROR(VLOOKUP($B17,'RA3-Backfilled Pits'!$A$11:$BN$18,MATCH(Summary!X$1,'RA3-Backfilled Pits'!$A$9:$BN$9,1),FALSE),0)+IFERROR(VLOOKUP($B17,'RA4-Tracks_Roads'!$A$11:$BN$18,MATCH(Summary!X$1,'RA4-Tracks_Roads'!$A$9:$BN$9,1),FALSE),0)+IFERROR(VLOOKUP($B17,'RA5-ROM'!$A$11:$BN$18,MATCH(Summary!X$1,'RA5-ROM'!$A$9:$BN$9,1),FALSE),0)+IFERROR(VLOOKUP($B17,'RA6-CHPP'!$A$11:$BN$18,MATCH(Summary!X$1,'RA6-CHPP'!$A$9:$BN$9,1),FALSE),0)+IFERROR(VLOOKUP($B17,'RA7-Mine Infrastructure Area'!$A$11:$BN$18,MATCH(Summary!X$1,'RA7-Mine Infrastructure Area'!$A$9:$BN$9,1),FALSE),0)+IFERROR(VLOOKUP($B17,'RA8-Water Management Structures'!$A$11:$BN$18,MATCH(Summary!X$1,'RA8-Water Management Structures'!$A$9:$BN$9,1),FALSE),0)+IFERROR(VLOOKUP($B17,'RA9-Codisposal Upper'!$A$11:$BN$18,MATCH(Summary!X$1,'RA9-Codisposal Upper'!$A$9:$BN$9,1),FALSE),0)+IFERROR(VLOOKUP($B17,'RA10-Codisposal Slopes'!$A$11:$BN$18,MATCH(Summary!X$1,'RA10-Codisposal Slopes'!$A$9:$BN$9,1),FALSE),0)+IFERROR(VLOOKUP($B17,'IA1-Final Void inc Ramps'!$A$11:$BN$18,MATCH(Summary!X$1,'IA1-Final Void inc Ramps'!$A$9:$BN$9,1),FALSE),0)</f>
        <v>0</v>
      </c>
      <c r="Y17" s="51">
        <f>IFERROR(VLOOKUP($B17,'RA1- Elevated Dumps Upper'!$A$11:$BN$18,MATCH(Summary!Y$1,'RA1- Elevated Dumps Upper'!$A$9:$BN$9,1),FALSE),0)+IFERROR(VLOOKUP($B17,'RA2-Elevated Dumps Slopes'!$A$11:$BN$18,MATCH(Summary!Y$1,'RA2-Elevated Dumps Slopes'!$A$9:$BN$9,1),FALSE),0)+IFERROR(VLOOKUP($B17,'RA3-Backfilled Pits'!$A$11:$BN$18,MATCH(Summary!Y$1,'RA3-Backfilled Pits'!$A$9:$BN$9,1),FALSE),0)+IFERROR(VLOOKUP($B17,'RA4-Tracks_Roads'!$A$11:$BN$18,MATCH(Summary!Y$1,'RA4-Tracks_Roads'!$A$9:$BN$9,1),FALSE),0)+IFERROR(VLOOKUP($B17,'RA5-ROM'!$A$11:$BN$18,MATCH(Summary!Y$1,'RA5-ROM'!$A$9:$BN$9,1),FALSE),0)+IFERROR(VLOOKUP($B17,'RA6-CHPP'!$A$11:$BN$18,MATCH(Summary!Y$1,'RA6-CHPP'!$A$9:$BN$9,1),FALSE),0)+IFERROR(VLOOKUP($B17,'RA7-Mine Infrastructure Area'!$A$11:$BN$18,MATCH(Summary!Y$1,'RA7-Mine Infrastructure Area'!$A$9:$BN$9,1),FALSE),0)+IFERROR(VLOOKUP($B17,'RA8-Water Management Structures'!$A$11:$BN$18,MATCH(Summary!Y$1,'RA8-Water Management Structures'!$A$9:$BN$9,1),FALSE),0)+IFERROR(VLOOKUP($B17,'RA9-Codisposal Upper'!$A$11:$BN$18,MATCH(Summary!Y$1,'RA9-Codisposal Upper'!$A$9:$BN$9,1),FALSE),0)+IFERROR(VLOOKUP($B17,'RA10-Codisposal Slopes'!$A$11:$BN$18,MATCH(Summary!Y$1,'RA10-Codisposal Slopes'!$A$9:$BN$9,1),FALSE),0)+IFERROR(VLOOKUP($B17,'IA1-Final Void inc Ramps'!$A$11:$BN$18,MATCH(Summary!Y$1,'IA1-Final Void inc Ramps'!$A$9:$BN$9,1),FALSE),0)</f>
        <v>0</v>
      </c>
      <c r="Z17" s="51">
        <f>IFERROR(VLOOKUP($B17,'RA1- Elevated Dumps Upper'!$A$11:$BN$18,MATCH(Summary!Z$1,'RA1- Elevated Dumps Upper'!$A$9:$BN$9,1),FALSE),0)+IFERROR(VLOOKUP($B17,'RA2-Elevated Dumps Slopes'!$A$11:$BN$18,MATCH(Summary!Z$1,'RA2-Elevated Dumps Slopes'!$A$9:$BN$9,1),FALSE),0)+IFERROR(VLOOKUP($B17,'RA3-Backfilled Pits'!$A$11:$BN$18,MATCH(Summary!Z$1,'RA3-Backfilled Pits'!$A$9:$BN$9,1),FALSE),0)+IFERROR(VLOOKUP($B17,'RA4-Tracks_Roads'!$A$11:$BN$18,MATCH(Summary!Z$1,'RA4-Tracks_Roads'!$A$9:$BN$9,1),FALSE),0)+IFERROR(VLOOKUP($B17,'RA5-ROM'!$A$11:$BN$18,MATCH(Summary!Z$1,'RA5-ROM'!$A$9:$BN$9,1),FALSE),0)+IFERROR(VLOOKUP($B17,'RA6-CHPP'!$A$11:$BN$18,MATCH(Summary!Z$1,'RA6-CHPP'!$A$9:$BN$9,1),FALSE),0)+IFERROR(VLOOKUP($B17,'RA7-Mine Infrastructure Area'!$A$11:$BN$18,MATCH(Summary!Z$1,'RA7-Mine Infrastructure Area'!$A$9:$BN$9,1),FALSE),0)+IFERROR(VLOOKUP($B17,'RA8-Water Management Structures'!$A$11:$BN$18,MATCH(Summary!Z$1,'RA8-Water Management Structures'!$A$9:$BN$9,1),FALSE),0)+IFERROR(VLOOKUP($B17,'RA9-Codisposal Upper'!$A$11:$BN$18,MATCH(Summary!Z$1,'RA9-Codisposal Upper'!$A$9:$BN$9,1),FALSE),0)+IFERROR(VLOOKUP($B17,'RA10-Codisposal Slopes'!$A$11:$BN$18,MATCH(Summary!Z$1,'RA10-Codisposal Slopes'!$A$9:$BN$9,1),FALSE),0)+IFERROR(VLOOKUP($B17,'IA1-Final Void inc Ramps'!$A$11:$BN$18,MATCH(Summary!Z$1,'IA1-Final Void inc Ramps'!$A$9:$BN$9,1),FALSE),0)</f>
        <v>0</v>
      </c>
      <c r="AA17" s="51">
        <f>IFERROR(VLOOKUP($B17,'RA1- Elevated Dumps Upper'!$A$11:$BN$18,MATCH(Summary!AA$1,'RA1- Elevated Dumps Upper'!$A$9:$BN$9,1),FALSE),0)+IFERROR(VLOOKUP($B17,'RA2-Elevated Dumps Slopes'!$A$11:$BN$18,MATCH(Summary!AA$1,'RA2-Elevated Dumps Slopes'!$A$9:$BN$9,1),FALSE),0)+IFERROR(VLOOKUP($B17,'RA3-Backfilled Pits'!$A$11:$BN$18,MATCH(Summary!AA$1,'RA3-Backfilled Pits'!$A$9:$BN$9,1),FALSE),0)+IFERROR(VLOOKUP($B17,'RA4-Tracks_Roads'!$A$11:$BN$18,MATCH(Summary!AA$1,'RA4-Tracks_Roads'!$A$9:$BN$9,1),FALSE),0)+IFERROR(VLOOKUP($B17,'RA5-ROM'!$A$11:$BN$18,MATCH(Summary!AA$1,'RA5-ROM'!$A$9:$BN$9,1),FALSE),0)+IFERROR(VLOOKUP($B17,'RA6-CHPP'!$A$11:$BN$18,MATCH(Summary!AA$1,'RA6-CHPP'!$A$9:$BN$9,1),FALSE),0)+IFERROR(VLOOKUP($B17,'RA7-Mine Infrastructure Area'!$A$11:$BN$18,MATCH(Summary!AA$1,'RA7-Mine Infrastructure Area'!$A$9:$BN$9,1),FALSE),0)+IFERROR(VLOOKUP($B17,'RA8-Water Management Structures'!$A$11:$BN$18,MATCH(Summary!AA$1,'RA8-Water Management Structures'!$A$9:$BN$9,1),FALSE),0)+IFERROR(VLOOKUP($B17,'RA9-Codisposal Upper'!$A$11:$BN$18,MATCH(Summary!AA$1,'RA9-Codisposal Upper'!$A$9:$BN$9,1),FALSE),0)+IFERROR(VLOOKUP($B17,'RA10-Codisposal Slopes'!$A$11:$BN$18,MATCH(Summary!AA$1,'RA10-Codisposal Slopes'!$A$9:$BN$9,1),FALSE),0)+IFERROR(VLOOKUP($B17,'IA1-Final Void inc Ramps'!$A$11:$BN$18,MATCH(Summary!AA$1,'IA1-Final Void inc Ramps'!$A$9:$BN$9,1),FALSE),0)</f>
        <v>0</v>
      </c>
      <c r="AB17" s="51">
        <f>IFERROR(VLOOKUP($B17,'RA1- Elevated Dumps Upper'!$A$11:$BN$18,MATCH(Summary!AB$1,'RA1- Elevated Dumps Upper'!$A$9:$BN$9,1),FALSE),0)+IFERROR(VLOOKUP($B17,'RA2-Elevated Dumps Slopes'!$A$11:$BN$18,MATCH(Summary!AB$1,'RA2-Elevated Dumps Slopes'!$A$9:$BN$9,1),FALSE),0)+IFERROR(VLOOKUP($B17,'RA3-Backfilled Pits'!$A$11:$BN$18,MATCH(Summary!AB$1,'RA3-Backfilled Pits'!$A$9:$BN$9,1),FALSE),0)+IFERROR(VLOOKUP($B17,'RA4-Tracks_Roads'!$A$11:$BN$18,MATCH(Summary!AB$1,'RA4-Tracks_Roads'!$A$9:$BN$9,1),FALSE),0)+IFERROR(VLOOKUP($B17,'RA5-ROM'!$A$11:$BN$18,MATCH(Summary!AB$1,'RA5-ROM'!$A$9:$BN$9,1),FALSE),0)+IFERROR(VLOOKUP($B17,'RA6-CHPP'!$A$11:$BN$18,MATCH(Summary!AB$1,'RA6-CHPP'!$A$9:$BN$9,1),FALSE),0)+IFERROR(VLOOKUP($B17,'RA7-Mine Infrastructure Area'!$A$11:$BN$18,MATCH(Summary!AB$1,'RA7-Mine Infrastructure Area'!$A$9:$BN$9,1),FALSE),0)+IFERROR(VLOOKUP($B17,'RA8-Water Management Structures'!$A$11:$BN$18,MATCH(Summary!AB$1,'RA8-Water Management Structures'!$A$9:$BN$9,1),FALSE),0)+IFERROR(VLOOKUP($B17,'RA9-Codisposal Upper'!$A$11:$BN$18,MATCH(Summary!AB$1,'RA9-Codisposal Upper'!$A$9:$BN$9,1),FALSE),0)+IFERROR(VLOOKUP($B17,'RA10-Codisposal Slopes'!$A$11:$BN$18,MATCH(Summary!AB$1,'RA10-Codisposal Slopes'!$A$9:$BN$9,1),FALSE),0)+IFERROR(VLOOKUP($B17,'IA1-Final Void inc Ramps'!$A$11:$BN$18,MATCH(Summary!AB$1,'IA1-Final Void inc Ramps'!$A$9:$BN$9,1),FALSE),0)</f>
        <v>0</v>
      </c>
      <c r="AC17" s="51">
        <f>IFERROR(VLOOKUP($B17,'RA1- Elevated Dumps Upper'!$A$11:$BN$18,MATCH(Summary!AC$1,'RA1- Elevated Dumps Upper'!$A$9:$BN$9,1),FALSE),0)+IFERROR(VLOOKUP($B17,'RA2-Elevated Dumps Slopes'!$A$11:$BN$18,MATCH(Summary!AC$1,'RA2-Elevated Dumps Slopes'!$A$9:$BN$9,1),FALSE),0)+IFERROR(VLOOKUP($B17,'RA3-Backfilled Pits'!$A$11:$BN$18,MATCH(Summary!AC$1,'RA3-Backfilled Pits'!$A$9:$BN$9,1),FALSE),0)+IFERROR(VLOOKUP($B17,'RA4-Tracks_Roads'!$A$11:$BN$18,MATCH(Summary!AC$1,'RA4-Tracks_Roads'!$A$9:$BN$9,1),FALSE),0)+IFERROR(VLOOKUP($B17,'RA5-ROM'!$A$11:$BN$18,MATCH(Summary!AC$1,'RA5-ROM'!$A$9:$BN$9,1),FALSE),0)+IFERROR(VLOOKUP($B17,'RA6-CHPP'!$A$11:$BN$18,MATCH(Summary!AC$1,'RA6-CHPP'!$A$9:$BN$9,1),FALSE),0)+IFERROR(VLOOKUP($B17,'RA7-Mine Infrastructure Area'!$A$11:$BN$18,MATCH(Summary!AC$1,'RA7-Mine Infrastructure Area'!$A$9:$BN$9,1),FALSE),0)+IFERROR(VLOOKUP($B17,'RA8-Water Management Structures'!$A$11:$BN$18,MATCH(Summary!AC$1,'RA8-Water Management Structures'!$A$9:$BN$9,1),FALSE),0)+IFERROR(VLOOKUP($B17,'RA9-Codisposal Upper'!$A$11:$BN$18,MATCH(Summary!AC$1,'RA9-Codisposal Upper'!$A$9:$BN$9,1),FALSE),0)+IFERROR(VLOOKUP($B17,'RA10-Codisposal Slopes'!$A$11:$BN$18,MATCH(Summary!AC$1,'RA10-Codisposal Slopes'!$A$9:$BN$9,1),FALSE),0)+IFERROR(VLOOKUP($B17,'IA1-Final Void inc Ramps'!$A$11:$BN$18,MATCH(Summary!AC$1,'IA1-Final Void inc Ramps'!$A$9:$BN$9,1),FALSE),0)</f>
        <v>0</v>
      </c>
      <c r="AD17" s="51">
        <f>IFERROR(VLOOKUP($B17,'RA1- Elevated Dumps Upper'!$A$11:$BN$18,MATCH(Summary!AD$1,'RA1- Elevated Dumps Upper'!$A$9:$BN$9,1),FALSE),0)+IFERROR(VLOOKUP($B17,'RA2-Elevated Dumps Slopes'!$A$11:$BN$18,MATCH(Summary!AD$1,'RA2-Elevated Dumps Slopes'!$A$9:$BN$9,1),FALSE),0)+IFERROR(VLOOKUP($B17,'RA3-Backfilled Pits'!$A$11:$BN$18,MATCH(Summary!AD$1,'RA3-Backfilled Pits'!$A$9:$BN$9,1),FALSE),0)+IFERROR(VLOOKUP($B17,'RA4-Tracks_Roads'!$A$11:$BN$18,MATCH(Summary!AD$1,'RA4-Tracks_Roads'!$A$9:$BN$9,1),FALSE),0)+IFERROR(VLOOKUP($B17,'RA5-ROM'!$A$11:$BN$18,MATCH(Summary!AD$1,'RA5-ROM'!$A$9:$BN$9,1),FALSE),0)+IFERROR(VLOOKUP($B17,'RA6-CHPP'!$A$11:$BN$18,MATCH(Summary!AD$1,'RA6-CHPP'!$A$9:$BN$9,1),FALSE),0)+IFERROR(VLOOKUP($B17,'RA7-Mine Infrastructure Area'!$A$11:$BN$18,MATCH(Summary!AD$1,'RA7-Mine Infrastructure Area'!$A$9:$BN$9,1),FALSE),0)+IFERROR(VLOOKUP($B17,'RA8-Water Management Structures'!$A$11:$BN$18,MATCH(Summary!AD$1,'RA8-Water Management Structures'!$A$9:$BN$9,1),FALSE),0)+IFERROR(VLOOKUP($B17,'RA9-Codisposal Upper'!$A$11:$BN$18,MATCH(Summary!AD$1,'RA9-Codisposal Upper'!$A$9:$BN$9,1),FALSE),0)+IFERROR(VLOOKUP($B17,'RA10-Codisposal Slopes'!$A$11:$BN$18,MATCH(Summary!AD$1,'RA10-Codisposal Slopes'!$A$9:$BN$9,1),FALSE),0)+IFERROR(VLOOKUP($B17,'IA1-Final Void inc Ramps'!$A$11:$BN$18,MATCH(Summary!AD$1,'IA1-Final Void inc Ramps'!$A$9:$BN$9,1),FALSE),0)</f>
        <v>0</v>
      </c>
      <c r="AE17" s="51">
        <f>IFERROR(VLOOKUP($B17,'RA1- Elevated Dumps Upper'!$A$11:$BN$18,MATCH(Summary!AE$1,'RA1- Elevated Dumps Upper'!$A$9:$BN$9,1),FALSE),0)+IFERROR(VLOOKUP($B17,'RA2-Elevated Dumps Slopes'!$A$11:$BN$18,MATCH(Summary!AE$1,'RA2-Elevated Dumps Slopes'!$A$9:$BN$9,1),FALSE),0)+IFERROR(VLOOKUP($B17,'RA3-Backfilled Pits'!$A$11:$BN$18,MATCH(Summary!AE$1,'RA3-Backfilled Pits'!$A$9:$BN$9,1),FALSE),0)+IFERROR(VLOOKUP($B17,'RA4-Tracks_Roads'!$A$11:$BN$18,MATCH(Summary!AE$1,'RA4-Tracks_Roads'!$A$9:$BN$9,1),FALSE),0)+IFERROR(VLOOKUP($B17,'RA5-ROM'!$A$11:$BN$18,MATCH(Summary!AE$1,'RA5-ROM'!$A$9:$BN$9,1),FALSE),0)+IFERROR(VLOOKUP($B17,'RA6-CHPP'!$A$11:$BN$18,MATCH(Summary!AE$1,'RA6-CHPP'!$A$9:$BN$9,1),FALSE),0)+IFERROR(VLOOKUP($B17,'RA7-Mine Infrastructure Area'!$A$11:$BN$18,MATCH(Summary!AE$1,'RA7-Mine Infrastructure Area'!$A$9:$BN$9,1),FALSE),0)+IFERROR(VLOOKUP($B17,'RA8-Water Management Structures'!$A$11:$BN$18,MATCH(Summary!AE$1,'RA8-Water Management Structures'!$A$9:$BN$9,1),FALSE),0)+IFERROR(VLOOKUP($B17,'RA9-Codisposal Upper'!$A$11:$BN$18,MATCH(Summary!AE$1,'RA9-Codisposal Upper'!$A$9:$BN$9,1),FALSE),0)+IFERROR(VLOOKUP($B17,'RA10-Codisposal Slopes'!$A$11:$BN$18,MATCH(Summary!AE$1,'RA10-Codisposal Slopes'!$A$9:$BN$9,1),FALSE),0)+IFERROR(VLOOKUP($B17,'IA1-Final Void inc Ramps'!$A$11:$BN$18,MATCH(Summary!AE$1,'IA1-Final Void inc Ramps'!$A$9:$BN$9,1),FALSE),0)</f>
        <v>0</v>
      </c>
      <c r="AF17" s="51">
        <f>IFERROR(VLOOKUP($B17,'RA1- Elevated Dumps Upper'!$A$11:$BN$18,MATCH(Summary!AF$1,'RA1- Elevated Dumps Upper'!$A$9:$BN$9,1),FALSE),0)+IFERROR(VLOOKUP($B17,'RA2-Elevated Dumps Slopes'!$A$11:$BN$18,MATCH(Summary!AF$1,'RA2-Elevated Dumps Slopes'!$A$9:$BN$9,1),FALSE),0)+IFERROR(VLOOKUP($B17,'RA3-Backfilled Pits'!$A$11:$BN$18,MATCH(Summary!AF$1,'RA3-Backfilled Pits'!$A$9:$BN$9,1),FALSE),0)+IFERROR(VLOOKUP($B17,'RA4-Tracks_Roads'!$A$11:$BN$18,MATCH(Summary!AF$1,'RA4-Tracks_Roads'!$A$9:$BN$9,1),FALSE),0)+IFERROR(VLOOKUP($B17,'RA5-ROM'!$A$11:$BN$18,MATCH(Summary!AF$1,'RA5-ROM'!$A$9:$BN$9,1),FALSE),0)+IFERROR(VLOOKUP($B17,'RA6-CHPP'!$A$11:$BN$18,MATCH(Summary!AF$1,'RA6-CHPP'!$A$9:$BN$9,1),FALSE),0)+IFERROR(VLOOKUP($B17,'RA7-Mine Infrastructure Area'!$A$11:$BN$18,MATCH(Summary!AF$1,'RA7-Mine Infrastructure Area'!$A$9:$BN$9,1),FALSE),0)+IFERROR(VLOOKUP($B17,'RA8-Water Management Structures'!$A$11:$BN$18,MATCH(Summary!AF$1,'RA8-Water Management Structures'!$A$9:$BN$9,1),FALSE),0)+IFERROR(VLOOKUP($B17,'RA9-Codisposal Upper'!$A$11:$BN$18,MATCH(Summary!AF$1,'RA9-Codisposal Upper'!$A$9:$BN$9,1),FALSE),0)+IFERROR(VLOOKUP($B17,'RA10-Codisposal Slopes'!$A$11:$BN$18,MATCH(Summary!AF$1,'RA10-Codisposal Slopes'!$A$9:$BN$9,1),FALSE),0)+IFERROR(VLOOKUP($B17,'IA1-Final Void inc Ramps'!$A$11:$BN$18,MATCH(Summary!AF$1,'IA1-Final Void inc Ramps'!$A$9:$BN$9,1),FALSE),0)</f>
        <v>24.1</v>
      </c>
      <c r="AG17" s="51">
        <f>IFERROR(VLOOKUP($B17,'RA1- Elevated Dumps Upper'!$A$11:$BN$18,MATCH(Summary!AG$1,'RA1- Elevated Dumps Upper'!$A$9:$BN$9,1),FALSE),0)+IFERROR(VLOOKUP($B17,'RA2-Elevated Dumps Slopes'!$A$11:$BN$18,MATCH(Summary!AG$1,'RA2-Elevated Dumps Slopes'!$A$9:$BN$9,1),FALSE),0)+IFERROR(VLOOKUP($B17,'RA3-Backfilled Pits'!$A$11:$BN$18,MATCH(Summary!AG$1,'RA3-Backfilled Pits'!$A$9:$BN$9,1),FALSE),0)+IFERROR(VLOOKUP($B17,'RA4-Tracks_Roads'!$A$11:$BN$18,MATCH(Summary!AG$1,'RA4-Tracks_Roads'!$A$9:$BN$9,1),FALSE),0)+IFERROR(VLOOKUP($B17,'RA5-ROM'!$A$11:$BN$18,MATCH(Summary!AG$1,'RA5-ROM'!$A$9:$BN$9,1),FALSE),0)+IFERROR(VLOOKUP($B17,'RA6-CHPP'!$A$11:$BN$18,MATCH(Summary!AG$1,'RA6-CHPP'!$A$9:$BN$9,1),FALSE),0)+IFERROR(VLOOKUP($B17,'RA7-Mine Infrastructure Area'!$A$11:$BN$18,MATCH(Summary!AG$1,'RA7-Mine Infrastructure Area'!$A$9:$BN$9,1),FALSE),0)+IFERROR(VLOOKUP($B17,'RA8-Water Management Structures'!$A$11:$BN$18,MATCH(Summary!AG$1,'RA8-Water Management Structures'!$A$9:$BN$9,1),FALSE),0)+IFERROR(VLOOKUP($B17,'RA9-Codisposal Upper'!$A$11:$BN$18,MATCH(Summary!AG$1,'RA9-Codisposal Upper'!$A$9:$BN$9,1),FALSE),0)+IFERROR(VLOOKUP($B17,'RA10-Codisposal Slopes'!$A$11:$BN$18,MATCH(Summary!AG$1,'RA10-Codisposal Slopes'!$A$9:$BN$9,1),FALSE),0)+IFERROR(VLOOKUP($B17,'IA1-Final Void inc Ramps'!$A$11:$BN$18,MATCH(Summary!AG$1,'IA1-Final Void inc Ramps'!$A$9:$BN$9,1),FALSE),0)</f>
        <v>208.3</v>
      </c>
      <c r="AH17" s="51">
        <f>IFERROR(VLOOKUP($B17,'RA1- Elevated Dumps Upper'!$A$11:$BN$18,MATCH(Summary!AH$1,'RA1- Elevated Dumps Upper'!$A$9:$BN$9,1),FALSE),0)+IFERROR(VLOOKUP($B17,'RA2-Elevated Dumps Slopes'!$A$11:$BN$18,MATCH(Summary!AH$1,'RA2-Elevated Dumps Slopes'!$A$9:$BN$9,1),FALSE),0)+IFERROR(VLOOKUP($B17,'RA3-Backfilled Pits'!$A$11:$BN$18,MATCH(Summary!AH$1,'RA3-Backfilled Pits'!$A$9:$BN$9,1),FALSE),0)+IFERROR(VLOOKUP($B17,'RA4-Tracks_Roads'!$A$11:$BN$18,MATCH(Summary!AH$1,'RA4-Tracks_Roads'!$A$9:$BN$9,1),FALSE),0)+IFERROR(VLOOKUP($B17,'RA5-ROM'!$A$11:$BN$18,MATCH(Summary!AH$1,'RA5-ROM'!$A$9:$BN$9,1),FALSE),0)+IFERROR(VLOOKUP($B17,'RA6-CHPP'!$A$11:$BN$18,MATCH(Summary!AH$1,'RA6-CHPP'!$A$9:$BN$9,1),FALSE),0)+IFERROR(VLOOKUP($B17,'RA7-Mine Infrastructure Area'!$A$11:$BN$18,MATCH(Summary!AH$1,'RA7-Mine Infrastructure Area'!$A$9:$BN$9,1),FALSE),0)+IFERROR(VLOOKUP($B17,'RA8-Water Management Structures'!$A$11:$BN$18,MATCH(Summary!AH$1,'RA8-Water Management Structures'!$A$9:$BN$9,1),FALSE),0)+IFERROR(VLOOKUP($B17,'RA9-Codisposal Upper'!$A$11:$BN$18,MATCH(Summary!AH$1,'RA9-Codisposal Upper'!$A$9:$BN$9,1),FALSE),0)+IFERROR(VLOOKUP($B17,'RA10-Codisposal Slopes'!$A$11:$BN$18,MATCH(Summary!AH$1,'RA10-Codisposal Slopes'!$A$9:$BN$9,1),FALSE),0)+IFERROR(VLOOKUP($B17,'IA1-Final Void inc Ramps'!$A$11:$BN$18,MATCH(Summary!AH$1,'IA1-Final Void inc Ramps'!$A$9:$BN$9,1),FALSE),0)</f>
        <v>243.303</v>
      </c>
      <c r="AI17" s="51">
        <f>IFERROR(VLOOKUP($B17,'RA1- Elevated Dumps Upper'!$A$11:$BN$18,MATCH(Summary!AI$1,'RA1- Elevated Dumps Upper'!$A$9:$BN$9,1),FALSE),0)+IFERROR(VLOOKUP($B17,'RA2-Elevated Dumps Slopes'!$A$11:$BN$18,MATCH(Summary!AI$1,'RA2-Elevated Dumps Slopes'!$A$9:$BN$9,1),FALSE),0)+IFERROR(VLOOKUP($B17,'RA3-Backfilled Pits'!$A$11:$BN$18,MATCH(Summary!AI$1,'RA3-Backfilled Pits'!$A$9:$BN$9,1),FALSE),0)+IFERROR(VLOOKUP($B17,'RA4-Tracks_Roads'!$A$11:$BN$18,MATCH(Summary!AI$1,'RA4-Tracks_Roads'!$A$9:$BN$9,1),FALSE),0)+IFERROR(VLOOKUP($B17,'RA5-ROM'!$A$11:$BN$18,MATCH(Summary!AI$1,'RA5-ROM'!$A$9:$BN$9,1),FALSE),0)+IFERROR(VLOOKUP($B17,'RA6-CHPP'!$A$11:$BN$18,MATCH(Summary!AI$1,'RA6-CHPP'!$A$9:$BN$9,1),FALSE),0)+IFERROR(VLOOKUP($B17,'RA7-Mine Infrastructure Area'!$A$11:$BN$18,MATCH(Summary!AI$1,'RA7-Mine Infrastructure Area'!$A$9:$BN$9,1),FALSE),0)+IFERROR(VLOOKUP($B17,'RA8-Water Management Structures'!$A$11:$BN$18,MATCH(Summary!AI$1,'RA8-Water Management Structures'!$A$9:$BN$9,1),FALSE),0)+IFERROR(VLOOKUP($B17,'RA9-Codisposal Upper'!$A$11:$BN$18,MATCH(Summary!AI$1,'RA9-Codisposal Upper'!$A$9:$BN$9,1),FALSE),0)+IFERROR(VLOOKUP($B17,'RA10-Codisposal Slopes'!$A$11:$BN$18,MATCH(Summary!AI$1,'RA10-Codisposal Slopes'!$A$9:$BN$9,1),FALSE),0)+IFERROR(VLOOKUP($B17,'IA1-Final Void inc Ramps'!$A$11:$BN$18,MATCH(Summary!AI$1,'IA1-Final Void inc Ramps'!$A$9:$BN$9,1),FALSE),0)</f>
        <v>569.90300000000002</v>
      </c>
      <c r="AJ17" s="51">
        <f>IFERROR(VLOOKUP($B17,'RA1- Elevated Dumps Upper'!$A$11:$BN$18,MATCH(Summary!AJ$1,'RA1- Elevated Dumps Upper'!$A$9:$BN$9,1),FALSE),0)+IFERROR(VLOOKUP($B17,'RA2-Elevated Dumps Slopes'!$A$11:$BN$18,MATCH(Summary!AJ$1,'RA2-Elevated Dumps Slopes'!$A$9:$BN$9,1),FALSE),0)+IFERROR(VLOOKUP($B17,'RA3-Backfilled Pits'!$A$11:$BN$18,MATCH(Summary!AJ$1,'RA3-Backfilled Pits'!$A$9:$BN$9,1),FALSE),0)+IFERROR(VLOOKUP($B17,'RA4-Tracks_Roads'!$A$11:$BN$18,MATCH(Summary!AJ$1,'RA4-Tracks_Roads'!$A$9:$BN$9,1),FALSE),0)+IFERROR(VLOOKUP($B17,'RA5-ROM'!$A$11:$BN$18,MATCH(Summary!AJ$1,'RA5-ROM'!$A$9:$BN$9,1),FALSE),0)+IFERROR(VLOOKUP($B17,'RA6-CHPP'!$A$11:$BN$18,MATCH(Summary!AJ$1,'RA6-CHPP'!$A$9:$BN$9,1),FALSE),0)+IFERROR(VLOOKUP($B17,'RA7-Mine Infrastructure Area'!$A$11:$BN$18,MATCH(Summary!AJ$1,'RA7-Mine Infrastructure Area'!$A$9:$BN$9,1),FALSE),0)+IFERROR(VLOOKUP($B17,'RA8-Water Management Structures'!$A$11:$BN$18,MATCH(Summary!AJ$1,'RA8-Water Management Structures'!$A$9:$BN$9,1),FALSE),0)+IFERROR(VLOOKUP($B17,'RA9-Codisposal Upper'!$A$11:$BN$18,MATCH(Summary!AJ$1,'RA9-Codisposal Upper'!$A$9:$BN$9,1),FALSE),0)+IFERROR(VLOOKUP($B17,'RA10-Codisposal Slopes'!$A$11:$BN$18,MATCH(Summary!AJ$1,'RA10-Codisposal Slopes'!$A$9:$BN$9,1),FALSE),0)+IFERROR(VLOOKUP($B17,'IA1-Final Void inc Ramps'!$A$11:$BN$18,MATCH(Summary!AJ$1,'IA1-Final Void inc Ramps'!$A$9:$BN$9,1),FALSE),0)</f>
        <v>569.90300000000002</v>
      </c>
      <c r="AK17" s="51">
        <f>IFERROR(VLOOKUP($B17,'RA1- Elevated Dumps Upper'!$A$11:$BN$18,MATCH(Summary!AK$1,'RA1- Elevated Dumps Upper'!$A$9:$BN$9,1),FALSE),0)+IFERROR(VLOOKUP($B17,'RA2-Elevated Dumps Slopes'!$A$11:$BN$18,MATCH(Summary!AK$1,'RA2-Elevated Dumps Slopes'!$A$9:$BN$9,1),FALSE),0)+IFERROR(VLOOKUP($B17,'RA3-Backfilled Pits'!$A$11:$BN$18,MATCH(Summary!AK$1,'RA3-Backfilled Pits'!$A$9:$BN$9,1),FALSE),0)+IFERROR(VLOOKUP($B17,'RA4-Tracks_Roads'!$A$11:$BN$18,MATCH(Summary!AK$1,'RA4-Tracks_Roads'!$A$9:$BN$9,1),FALSE),0)+IFERROR(VLOOKUP($B17,'RA5-ROM'!$A$11:$BN$18,MATCH(Summary!AK$1,'RA5-ROM'!$A$9:$BN$9,1),FALSE),0)+IFERROR(VLOOKUP($B17,'RA6-CHPP'!$A$11:$BN$18,MATCH(Summary!AK$1,'RA6-CHPP'!$A$9:$BN$9,1),FALSE),0)+IFERROR(VLOOKUP($B17,'RA7-Mine Infrastructure Area'!$A$11:$BN$18,MATCH(Summary!AK$1,'RA7-Mine Infrastructure Area'!$A$9:$BN$9,1),FALSE),0)+IFERROR(VLOOKUP($B17,'RA8-Water Management Structures'!$A$11:$BN$18,MATCH(Summary!AK$1,'RA8-Water Management Structures'!$A$9:$BN$9,1),FALSE),0)+IFERROR(VLOOKUP($B17,'RA9-Codisposal Upper'!$A$11:$BN$18,MATCH(Summary!AK$1,'RA9-Codisposal Upper'!$A$9:$BN$9,1),FALSE),0)+IFERROR(VLOOKUP($B17,'RA10-Codisposal Slopes'!$A$11:$BN$18,MATCH(Summary!AK$1,'RA10-Codisposal Slopes'!$A$9:$BN$9,1),FALSE),0)+IFERROR(VLOOKUP($B17,'IA1-Final Void inc Ramps'!$A$11:$BN$18,MATCH(Summary!AK$1,'IA1-Final Void inc Ramps'!$A$9:$BN$9,1),FALSE),0)</f>
        <v>569.90300000000002</v>
      </c>
      <c r="AL17" s="51">
        <f>IFERROR(VLOOKUP($B17,'RA1- Elevated Dumps Upper'!$A$11:$BN$18,MATCH(Summary!AL$1,'RA1- Elevated Dumps Upper'!$A$9:$BN$9,1),FALSE),0)+IFERROR(VLOOKUP($B17,'RA2-Elevated Dumps Slopes'!$A$11:$BN$18,MATCH(Summary!AL$1,'RA2-Elevated Dumps Slopes'!$A$9:$BN$9,1),FALSE),0)+IFERROR(VLOOKUP($B17,'RA3-Backfilled Pits'!$A$11:$BN$18,MATCH(Summary!AL$1,'RA3-Backfilled Pits'!$A$9:$BN$9,1),FALSE),0)+IFERROR(VLOOKUP($B17,'RA4-Tracks_Roads'!$A$11:$BN$18,MATCH(Summary!AL$1,'RA4-Tracks_Roads'!$A$9:$BN$9,1),FALSE),0)+IFERROR(VLOOKUP($B17,'RA5-ROM'!$A$11:$BN$18,MATCH(Summary!AL$1,'RA5-ROM'!$A$9:$BN$9,1),FALSE),0)+IFERROR(VLOOKUP($B17,'RA6-CHPP'!$A$11:$BN$18,MATCH(Summary!AL$1,'RA6-CHPP'!$A$9:$BN$9,1),FALSE),0)+IFERROR(VLOOKUP($B17,'RA7-Mine Infrastructure Area'!$A$11:$BN$18,MATCH(Summary!AL$1,'RA7-Mine Infrastructure Area'!$A$9:$BN$9,1),FALSE),0)+IFERROR(VLOOKUP($B17,'RA8-Water Management Structures'!$A$11:$BN$18,MATCH(Summary!AL$1,'RA8-Water Management Structures'!$A$9:$BN$9,1),FALSE),0)+IFERROR(VLOOKUP($B17,'RA9-Codisposal Upper'!$A$11:$BN$18,MATCH(Summary!AL$1,'RA9-Codisposal Upper'!$A$9:$BN$9,1),FALSE),0)+IFERROR(VLOOKUP($B17,'RA10-Codisposal Slopes'!$A$11:$BN$18,MATCH(Summary!AL$1,'RA10-Codisposal Slopes'!$A$9:$BN$9,1),FALSE),0)+IFERROR(VLOOKUP($B17,'IA1-Final Void inc Ramps'!$A$11:$BN$18,MATCH(Summary!AL$1,'IA1-Final Void inc Ramps'!$A$9:$BN$9,1),FALSE),0)</f>
        <v>569.90300000000002</v>
      </c>
      <c r="AM17" s="51">
        <f>IFERROR(VLOOKUP($B17,'RA1- Elevated Dumps Upper'!$A$11:$BN$18,MATCH(Summary!AM$1,'RA1- Elevated Dumps Upper'!$A$9:$BN$9,1),FALSE),0)+IFERROR(VLOOKUP($B17,'RA2-Elevated Dumps Slopes'!$A$11:$BN$18,MATCH(Summary!AM$1,'RA2-Elevated Dumps Slopes'!$A$9:$BN$9,1),FALSE),0)+IFERROR(VLOOKUP($B17,'RA3-Backfilled Pits'!$A$11:$BN$18,MATCH(Summary!AM$1,'RA3-Backfilled Pits'!$A$9:$BN$9,1),FALSE),0)+IFERROR(VLOOKUP($B17,'RA4-Tracks_Roads'!$A$11:$BN$18,MATCH(Summary!AM$1,'RA4-Tracks_Roads'!$A$9:$BN$9,1),FALSE),0)+IFERROR(VLOOKUP($B17,'RA5-ROM'!$A$11:$BN$18,MATCH(Summary!AM$1,'RA5-ROM'!$A$9:$BN$9,1),FALSE),0)+IFERROR(VLOOKUP($B17,'RA6-CHPP'!$A$11:$BN$18,MATCH(Summary!AM$1,'RA6-CHPP'!$A$9:$BN$9,1),FALSE),0)+IFERROR(VLOOKUP($B17,'RA7-Mine Infrastructure Area'!$A$11:$BN$18,MATCH(Summary!AM$1,'RA7-Mine Infrastructure Area'!$A$9:$BN$9,1),FALSE),0)+IFERROR(VLOOKUP($B17,'RA8-Water Management Structures'!$A$11:$BN$18,MATCH(Summary!AM$1,'RA8-Water Management Structures'!$A$9:$BN$9,1),FALSE),0)+IFERROR(VLOOKUP($B17,'RA9-Codisposal Upper'!$A$11:$BN$18,MATCH(Summary!AM$1,'RA9-Codisposal Upper'!$A$9:$BN$9,1),FALSE),0)+IFERROR(VLOOKUP($B17,'RA10-Codisposal Slopes'!$A$11:$BN$18,MATCH(Summary!AM$1,'RA10-Codisposal Slopes'!$A$9:$BN$9,1),FALSE),0)+IFERROR(VLOOKUP($B17,'IA1-Final Void inc Ramps'!$A$11:$BN$18,MATCH(Summary!AM$1,'IA1-Final Void inc Ramps'!$A$9:$BN$9,1),FALSE),0)</f>
        <v>569.90300000000002</v>
      </c>
      <c r="AN17" s="51">
        <f>IFERROR(VLOOKUP($B17,'RA1- Elevated Dumps Upper'!$A$11:$BN$18,MATCH(Summary!AN$1,'RA1- Elevated Dumps Upper'!$A$9:$BN$9,1),FALSE),0)+IFERROR(VLOOKUP($B17,'RA2-Elevated Dumps Slopes'!$A$11:$BN$18,MATCH(Summary!AN$1,'RA2-Elevated Dumps Slopes'!$A$9:$BN$9,1),FALSE),0)+IFERROR(VLOOKUP($B17,'RA3-Backfilled Pits'!$A$11:$BN$18,MATCH(Summary!AN$1,'RA3-Backfilled Pits'!$A$9:$BN$9,1),FALSE),0)+IFERROR(VLOOKUP($B17,'RA4-Tracks_Roads'!$A$11:$BN$18,MATCH(Summary!AN$1,'RA4-Tracks_Roads'!$A$9:$BN$9,1),FALSE),0)+IFERROR(VLOOKUP($B17,'RA5-ROM'!$A$11:$BN$18,MATCH(Summary!AN$1,'RA5-ROM'!$A$9:$BN$9,1),FALSE),0)+IFERROR(VLOOKUP($B17,'RA6-CHPP'!$A$11:$BN$18,MATCH(Summary!AN$1,'RA6-CHPP'!$A$9:$BN$9,1),FALSE),0)+IFERROR(VLOOKUP($B17,'RA7-Mine Infrastructure Area'!$A$11:$BN$18,MATCH(Summary!AN$1,'RA7-Mine Infrastructure Area'!$A$9:$BN$9,1),FALSE),0)+IFERROR(VLOOKUP($B17,'RA8-Water Management Structures'!$A$11:$BN$18,MATCH(Summary!AN$1,'RA8-Water Management Structures'!$A$9:$BN$9,1),FALSE),0)+IFERROR(VLOOKUP($B17,'RA9-Codisposal Upper'!$A$11:$BN$18,MATCH(Summary!AN$1,'RA9-Codisposal Upper'!$A$9:$BN$9,1),FALSE),0)+IFERROR(VLOOKUP($B17,'RA10-Codisposal Slopes'!$A$11:$BN$18,MATCH(Summary!AN$1,'RA10-Codisposal Slopes'!$A$9:$BN$9,1),FALSE),0)+IFERROR(VLOOKUP($B17,'IA1-Final Void inc Ramps'!$A$11:$BN$18,MATCH(Summary!AN$1,'IA1-Final Void inc Ramps'!$A$9:$BN$9,1),FALSE),0)</f>
        <v>569.90300000000002</v>
      </c>
      <c r="AO17" s="51">
        <f>IFERROR(VLOOKUP($B17,'RA1- Elevated Dumps Upper'!$A$11:$BN$18,MATCH(Summary!AO$1,'RA1- Elevated Dumps Upper'!$A$9:$BN$9,1),FALSE),0)+IFERROR(VLOOKUP($B17,'RA2-Elevated Dumps Slopes'!$A$11:$BN$18,MATCH(Summary!AO$1,'RA2-Elevated Dumps Slopes'!$A$9:$BN$9,1),FALSE),0)+IFERROR(VLOOKUP($B17,'RA3-Backfilled Pits'!$A$11:$BN$18,MATCH(Summary!AO$1,'RA3-Backfilled Pits'!$A$9:$BN$9,1),FALSE),0)+IFERROR(VLOOKUP($B17,'RA4-Tracks_Roads'!$A$11:$BN$18,MATCH(Summary!AO$1,'RA4-Tracks_Roads'!$A$9:$BN$9,1),FALSE),0)+IFERROR(VLOOKUP($B17,'RA5-ROM'!$A$11:$BN$18,MATCH(Summary!AO$1,'RA5-ROM'!$A$9:$BN$9,1),FALSE),0)+IFERROR(VLOOKUP($B17,'RA6-CHPP'!$A$11:$BN$18,MATCH(Summary!AO$1,'RA6-CHPP'!$A$9:$BN$9,1),FALSE),0)+IFERROR(VLOOKUP($B17,'RA7-Mine Infrastructure Area'!$A$11:$BN$18,MATCH(Summary!AO$1,'RA7-Mine Infrastructure Area'!$A$9:$BN$9,1),FALSE),0)+IFERROR(VLOOKUP($B17,'RA8-Water Management Structures'!$A$11:$BN$18,MATCH(Summary!AO$1,'RA8-Water Management Structures'!$A$9:$BN$9,1),FALSE),0)+IFERROR(VLOOKUP($B17,'RA9-Codisposal Upper'!$A$11:$BN$18,MATCH(Summary!AO$1,'RA9-Codisposal Upper'!$A$9:$BN$9,1),FALSE),0)+IFERROR(VLOOKUP($B17,'RA10-Codisposal Slopes'!$A$11:$BN$18,MATCH(Summary!AO$1,'RA10-Codisposal Slopes'!$A$9:$BN$9,1),FALSE),0)+IFERROR(VLOOKUP($B17,'IA1-Final Void inc Ramps'!$A$11:$BN$18,MATCH(Summary!AO$1,'IA1-Final Void inc Ramps'!$A$9:$BN$9,1),FALSE),0)</f>
        <v>569.90300000000002</v>
      </c>
      <c r="AP17" s="51">
        <f>IFERROR(VLOOKUP($B17,'RA1- Elevated Dumps Upper'!$A$11:$BN$18,MATCH(Summary!AP$1,'RA1- Elevated Dumps Upper'!$A$9:$BN$9,1),FALSE),0)+IFERROR(VLOOKUP($B17,'RA2-Elevated Dumps Slopes'!$A$11:$BN$18,MATCH(Summary!AP$1,'RA2-Elevated Dumps Slopes'!$A$9:$BN$9,1),FALSE),0)+IFERROR(VLOOKUP($B17,'RA3-Backfilled Pits'!$A$11:$BN$18,MATCH(Summary!AP$1,'RA3-Backfilled Pits'!$A$9:$BN$9,1),FALSE),0)+IFERROR(VLOOKUP($B17,'RA4-Tracks_Roads'!$A$11:$BN$18,MATCH(Summary!AP$1,'RA4-Tracks_Roads'!$A$9:$BN$9,1),FALSE),0)+IFERROR(VLOOKUP($B17,'RA5-ROM'!$A$11:$BN$18,MATCH(Summary!AP$1,'RA5-ROM'!$A$9:$BN$9,1),FALSE),0)+IFERROR(VLOOKUP($B17,'RA6-CHPP'!$A$11:$BN$18,MATCH(Summary!AP$1,'RA6-CHPP'!$A$9:$BN$9,1),FALSE),0)+IFERROR(VLOOKUP($B17,'RA7-Mine Infrastructure Area'!$A$11:$BN$18,MATCH(Summary!AP$1,'RA7-Mine Infrastructure Area'!$A$9:$BN$9,1),FALSE),0)+IFERROR(VLOOKUP($B17,'RA8-Water Management Structures'!$A$11:$BN$18,MATCH(Summary!AP$1,'RA8-Water Management Structures'!$A$9:$BN$9,1),FALSE),0)+IFERROR(VLOOKUP($B17,'RA9-Codisposal Upper'!$A$11:$BN$18,MATCH(Summary!AP$1,'RA9-Codisposal Upper'!$A$9:$BN$9,1),FALSE),0)+IFERROR(VLOOKUP($B17,'RA10-Codisposal Slopes'!$A$11:$BN$18,MATCH(Summary!AP$1,'RA10-Codisposal Slopes'!$A$9:$BN$9,1),FALSE),0)+IFERROR(VLOOKUP($B17,'IA1-Final Void inc Ramps'!$A$11:$BN$18,MATCH(Summary!AP$1,'IA1-Final Void inc Ramps'!$A$9:$BN$9,1),FALSE),0)</f>
        <v>569.90300000000002</v>
      </c>
      <c r="AQ17" s="51">
        <f>IFERROR(VLOOKUP($B17,'RA1- Elevated Dumps Upper'!$A$11:$BN$18,MATCH(Summary!AQ$1,'RA1- Elevated Dumps Upper'!$A$9:$BN$9,1),FALSE),0)+IFERROR(VLOOKUP($B17,'RA2-Elevated Dumps Slopes'!$A$11:$BN$18,MATCH(Summary!AQ$1,'RA2-Elevated Dumps Slopes'!$A$9:$BN$9,1),FALSE),0)+IFERROR(VLOOKUP($B17,'RA3-Backfilled Pits'!$A$11:$BN$18,MATCH(Summary!AQ$1,'RA3-Backfilled Pits'!$A$9:$BN$9,1),FALSE),0)+IFERROR(VLOOKUP($B17,'RA4-Tracks_Roads'!$A$11:$BN$18,MATCH(Summary!AQ$1,'RA4-Tracks_Roads'!$A$9:$BN$9,1),FALSE),0)+IFERROR(VLOOKUP($B17,'RA5-ROM'!$A$11:$BN$18,MATCH(Summary!AQ$1,'RA5-ROM'!$A$9:$BN$9,1),FALSE),0)+IFERROR(VLOOKUP($B17,'RA6-CHPP'!$A$11:$BN$18,MATCH(Summary!AQ$1,'RA6-CHPP'!$A$9:$BN$9,1),FALSE),0)+IFERROR(VLOOKUP($B17,'RA7-Mine Infrastructure Area'!$A$11:$BN$18,MATCH(Summary!AQ$1,'RA7-Mine Infrastructure Area'!$A$9:$BN$9,1),FALSE),0)+IFERROR(VLOOKUP($B17,'RA8-Water Management Structures'!$A$11:$BN$18,MATCH(Summary!AQ$1,'RA8-Water Management Structures'!$A$9:$BN$9,1),FALSE),0)+IFERROR(VLOOKUP($B17,'RA9-Codisposal Upper'!$A$11:$BN$18,MATCH(Summary!AQ$1,'RA9-Codisposal Upper'!$A$9:$BN$9,1),FALSE),0)+IFERROR(VLOOKUP($B17,'RA10-Codisposal Slopes'!$A$11:$BN$18,MATCH(Summary!AQ$1,'RA10-Codisposal Slopes'!$A$9:$BN$9,1),FALSE),0)+IFERROR(VLOOKUP($B17,'IA1-Final Void inc Ramps'!$A$11:$BN$18,MATCH(Summary!AQ$1,'IA1-Final Void inc Ramps'!$A$9:$BN$9,1),FALSE),0)</f>
        <v>569.90300000000002</v>
      </c>
      <c r="AR17" s="51">
        <f>IFERROR(VLOOKUP($B17,'RA1- Elevated Dumps Upper'!$A$11:$BN$18,MATCH(Summary!AR$1,'RA1- Elevated Dumps Upper'!$A$9:$BN$9,1),FALSE),0)+IFERROR(VLOOKUP($B17,'RA2-Elevated Dumps Slopes'!$A$11:$BN$18,MATCH(Summary!AR$1,'RA2-Elevated Dumps Slopes'!$A$9:$BN$9,1),FALSE),0)+IFERROR(VLOOKUP($B17,'RA3-Backfilled Pits'!$A$11:$BN$18,MATCH(Summary!AR$1,'RA3-Backfilled Pits'!$A$9:$BN$9,1),FALSE),0)+IFERROR(VLOOKUP($B17,'RA4-Tracks_Roads'!$A$11:$BN$18,MATCH(Summary!AR$1,'RA4-Tracks_Roads'!$A$9:$BN$9,1),FALSE),0)+IFERROR(VLOOKUP($B17,'RA5-ROM'!$A$11:$BN$18,MATCH(Summary!AR$1,'RA5-ROM'!$A$9:$BN$9,1),FALSE),0)+IFERROR(VLOOKUP($B17,'RA6-CHPP'!$A$11:$BN$18,MATCH(Summary!AR$1,'RA6-CHPP'!$A$9:$BN$9,1),FALSE),0)+IFERROR(VLOOKUP($B17,'RA7-Mine Infrastructure Area'!$A$11:$BN$18,MATCH(Summary!AR$1,'RA7-Mine Infrastructure Area'!$A$9:$BN$9,1),FALSE),0)+IFERROR(VLOOKUP($B17,'RA8-Water Management Structures'!$A$11:$BN$18,MATCH(Summary!AR$1,'RA8-Water Management Structures'!$A$9:$BN$9,1),FALSE),0)+IFERROR(VLOOKUP($B17,'RA9-Codisposal Upper'!$A$11:$BN$18,MATCH(Summary!AR$1,'RA9-Codisposal Upper'!$A$9:$BN$9,1),FALSE),0)+IFERROR(VLOOKUP($B17,'RA10-Codisposal Slopes'!$A$11:$BN$18,MATCH(Summary!AR$1,'RA10-Codisposal Slopes'!$A$9:$BN$9,1),FALSE),0)+IFERROR(VLOOKUP($B17,'IA1-Final Void inc Ramps'!$A$11:$BN$18,MATCH(Summary!AR$1,'IA1-Final Void inc Ramps'!$A$9:$BN$9,1),FALSE),0)</f>
        <v>569.90300000000002</v>
      </c>
      <c r="AS17" s="51">
        <f>IFERROR(VLOOKUP($B17,'RA1- Elevated Dumps Upper'!$A$11:$BN$18,MATCH(Summary!AS$1,'RA1- Elevated Dumps Upper'!$A$9:$BN$9,1),FALSE),0)+IFERROR(VLOOKUP($B17,'RA2-Elevated Dumps Slopes'!$A$11:$BN$18,MATCH(Summary!AS$1,'RA2-Elevated Dumps Slopes'!$A$9:$BN$9,1),FALSE),0)+IFERROR(VLOOKUP($B17,'RA3-Backfilled Pits'!$A$11:$BN$18,MATCH(Summary!AS$1,'RA3-Backfilled Pits'!$A$9:$BN$9,1),FALSE),0)+IFERROR(VLOOKUP($B17,'RA4-Tracks_Roads'!$A$11:$BN$18,MATCH(Summary!AS$1,'RA4-Tracks_Roads'!$A$9:$BN$9,1),FALSE),0)+IFERROR(VLOOKUP($B17,'RA5-ROM'!$A$11:$BN$18,MATCH(Summary!AS$1,'RA5-ROM'!$A$9:$BN$9,1),FALSE),0)+IFERROR(VLOOKUP($B17,'RA6-CHPP'!$A$11:$BN$18,MATCH(Summary!AS$1,'RA6-CHPP'!$A$9:$BN$9,1),FALSE),0)+IFERROR(VLOOKUP($B17,'RA7-Mine Infrastructure Area'!$A$11:$BN$18,MATCH(Summary!AS$1,'RA7-Mine Infrastructure Area'!$A$9:$BN$9,1),FALSE),0)+IFERROR(VLOOKUP($B17,'RA8-Water Management Structures'!$A$11:$BN$18,MATCH(Summary!AS$1,'RA8-Water Management Structures'!$A$9:$BN$9,1),FALSE),0)+IFERROR(VLOOKUP($B17,'RA9-Codisposal Upper'!$A$11:$BN$18,MATCH(Summary!AS$1,'RA9-Codisposal Upper'!$A$9:$BN$9,1),FALSE),0)+IFERROR(VLOOKUP($B17,'RA10-Codisposal Slopes'!$A$11:$BN$18,MATCH(Summary!AS$1,'RA10-Codisposal Slopes'!$A$9:$BN$9,1),FALSE),0)+IFERROR(VLOOKUP($B17,'IA1-Final Void inc Ramps'!$A$11:$BN$18,MATCH(Summary!AS$1,'IA1-Final Void inc Ramps'!$A$9:$BN$9,1),FALSE),0)</f>
        <v>569.90300000000002</v>
      </c>
      <c r="AT17" s="51">
        <f>IFERROR(VLOOKUP($B17,'RA1- Elevated Dumps Upper'!$A$11:$BN$18,MATCH(Summary!AT$1,'RA1- Elevated Dumps Upper'!$A$9:$BN$9,1),FALSE),0)+IFERROR(VLOOKUP($B17,'RA2-Elevated Dumps Slopes'!$A$11:$BN$18,MATCH(Summary!AT$1,'RA2-Elevated Dumps Slopes'!$A$9:$BN$9,1),FALSE),0)+IFERROR(VLOOKUP($B17,'RA3-Backfilled Pits'!$A$11:$BN$18,MATCH(Summary!AT$1,'RA3-Backfilled Pits'!$A$9:$BN$9,1),FALSE),0)+IFERROR(VLOOKUP($B17,'RA4-Tracks_Roads'!$A$11:$BN$18,MATCH(Summary!AT$1,'RA4-Tracks_Roads'!$A$9:$BN$9,1),FALSE),0)+IFERROR(VLOOKUP($B17,'RA5-ROM'!$A$11:$BN$18,MATCH(Summary!AT$1,'RA5-ROM'!$A$9:$BN$9,1),FALSE),0)+IFERROR(VLOOKUP($B17,'RA6-CHPP'!$A$11:$BN$18,MATCH(Summary!AT$1,'RA6-CHPP'!$A$9:$BN$9,1),FALSE),0)+IFERROR(VLOOKUP($B17,'RA7-Mine Infrastructure Area'!$A$11:$BN$18,MATCH(Summary!AT$1,'RA7-Mine Infrastructure Area'!$A$9:$BN$9,1),FALSE),0)+IFERROR(VLOOKUP($B17,'RA8-Water Management Structures'!$A$11:$BN$18,MATCH(Summary!AT$1,'RA8-Water Management Structures'!$A$9:$BN$9,1),FALSE),0)+IFERROR(VLOOKUP($B17,'RA9-Codisposal Upper'!$A$11:$BN$18,MATCH(Summary!AT$1,'RA9-Codisposal Upper'!$A$9:$BN$9,1),FALSE),0)+IFERROR(VLOOKUP($B17,'RA10-Codisposal Slopes'!$A$11:$BN$18,MATCH(Summary!AT$1,'RA10-Codisposal Slopes'!$A$9:$BN$9,1),FALSE),0)+IFERROR(VLOOKUP($B17,'IA1-Final Void inc Ramps'!$A$11:$BN$18,MATCH(Summary!AT$1,'IA1-Final Void inc Ramps'!$A$9:$BN$9,1),FALSE),0)</f>
        <v>569.90300000000002</v>
      </c>
      <c r="AU17" s="51">
        <f>IFERROR(VLOOKUP($B17,'RA1- Elevated Dumps Upper'!$A$11:$BN$18,MATCH(Summary!AU$1,'RA1- Elevated Dumps Upper'!$A$9:$BN$9,1),FALSE),0)+IFERROR(VLOOKUP($B17,'RA2-Elevated Dumps Slopes'!$A$11:$BN$18,MATCH(Summary!AU$1,'RA2-Elevated Dumps Slopes'!$A$9:$BN$9,1),FALSE),0)+IFERROR(VLOOKUP($B17,'RA3-Backfilled Pits'!$A$11:$BN$18,MATCH(Summary!AU$1,'RA3-Backfilled Pits'!$A$9:$BN$9,1),FALSE),0)+IFERROR(VLOOKUP($B17,'RA4-Tracks_Roads'!$A$11:$BN$18,MATCH(Summary!AU$1,'RA4-Tracks_Roads'!$A$9:$BN$9,1),FALSE),0)+IFERROR(VLOOKUP($B17,'RA5-ROM'!$A$11:$BN$18,MATCH(Summary!AU$1,'RA5-ROM'!$A$9:$BN$9,1),FALSE),0)+IFERROR(VLOOKUP($B17,'RA6-CHPP'!$A$11:$BN$18,MATCH(Summary!AU$1,'RA6-CHPP'!$A$9:$BN$9,1),FALSE),0)+IFERROR(VLOOKUP($B17,'RA7-Mine Infrastructure Area'!$A$11:$BN$18,MATCH(Summary!AU$1,'RA7-Mine Infrastructure Area'!$A$9:$BN$9,1),FALSE),0)+IFERROR(VLOOKUP($B17,'RA8-Water Management Structures'!$A$11:$BN$18,MATCH(Summary!AU$1,'RA8-Water Management Structures'!$A$9:$BN$9,1),FALSE),0)+IFERROR(VLOOKUP($B17,'RA9-Codisposal Upper'!$A$11:$BN$18,MATCH(Summary!AU$1,'RA9-Codisposal Upper'!$A$9:$BN$9,1),FALSE),0)+IFERROR(VLOOKUP($B17,'RA10-Codisposal Slopes'!$A$11:$BN$18,MATCH(Summary!AU$1,'RA10-Codisposal Slopes'!$A$9:$BN$9,1),FALSE),0)+IFERROR(VLOOKUP($B17,'IA1-Final Void inc Ramps'!$A$11:$BN$18,MATCH(Summary!AU$1,'IA1-Final Void inc Ramps'!$A$9:$BN$9,1),FALSE),0)</f>
        <v>569.90300000000002</v>
      </c>
      <c r="AV17" s="51">
        <f>IFERROR(VLOOKUP($B17,'RA1- Elevated Dumps Upper'!$A$11:$BN$18,MATCH(Summary!AV$1,'RA1- Elevated Dumps Upper'!$A$9:$BN$9,1),FALSE),0)+IFERROR(VLOOKUP($B17,'RA2-Elevated Dumps Slopes'!$A$11:$BN$18,MATCH(Summary!AV$1,'RA2-Elevated Dumps Slopes'!$A$9:$BN$9,1),FALSE),0)+IFERROR(VLOOKUP($B17,'RA3-Backfilled Pits'!$A$11:$BN$18,MATCH(Summary!AV$1,'RA3-Backfilled Pits'!$A$9:$BN$9,1),FALSE),0)+IFERROR(VLOOKUP($B17,'RA4-Tracks_Roads'!$A$11:$BN$18,MATCH(Summary!AV$1,'RA4-Tracks_Roads'!$A$9:$BN$9,1),FALSE),0)+IFERROR(VLOOKUP($B17,'RA5-ROM'!$A$11:$BN$18,MATCH(Summary!AV$1,'RA5-ROM'!$A$9:$BN$9,1),FALSE),0)+IFERROR(VLOOKUP($B17,'RA6-CHPP'!$A$11:$BN$18,MATCH(Summary!AV$1,'RA6-CHPP'!$A$9:$BN$9,1),FALSE),0)+IFERROR(VLOOKUP($B17,'RA7-Mine Infrastructure Area'!$A$11:$BN$18,MATCH(Summary!AV$1,'RA7-Mine Infrastructure Area'!$A$9:$BN$9,1),FALSE),0)+IFERROR(VLOOKUP($B17,'RA8-Water Management Structures'!$A$11:$BN$18,MATCH(Summary!AV$1,'RA8-Water Management Structures'!$A$9:$BN$9,1),FALSE),0)+IFERROR(VLOOKUP($B17,'RA9-Codisposal Upper'!$A$11:$BN$18,MATCH(Summary!AV$1,'RA9-Codisposal Upper'!$A$9:$BN$9,1),FALSE),0)+IFERROR(VLOOKUP($B17,'RA10-Codisposal Slopes'!$A$11:$BN$18,MATCH(Summary!AV$1,'RA10-Codisposal Slopes'!$A$9:$BN$9,1),FALSE),0)+IFERROR(VLOOKUP($B17,'IA1-Final Void inc Ramps'!$A$11:$BN$18,MATCH(Summary!AV$1,'IA1-Final Void inc Ramps'!$A$9:$BN$9,1),FALSE),0)</f>
        <v>569.90300000000002</v>
      </c>
      <c r="AW17" s="51">
        <f>IFERROR(VLOOKUP($B17,'RA1- Elevated Dumps Upper'!$A$11:$BN$18,MATCH(Summary!AW$1,'RA1- Elevated Dumps Upper'!$A$9:$BN$9,1),FALSE),0)+IFERROR(VLOOKUP($B17,'RA2-Elevated Dumps Slopes'!$A$11:$BN$18,MATCH(Summary!AW$1,'RA2-Elevated Dumps Slopes'!$A$9:$BN$9,1),FALSE),0)+IFERROR(VLOOKUP($B17,'RA3-Backfilled Pits'!$A$11:$BN$18,MATCH(Summary!AW$1,'RA3-Backfilled Pits'!$A$9:$BN$9,1),FALSE),0)+IFERROR(VLOOKUP($B17,'RA4-Tracks_Roads'!$A$11:$BN$18,MATCH(Summary!AW$1,'RA4-Tracks_Roads'!$A$9:$BN$9,1),FALSE),0)+IFERROR(VLOOKUP($B17,'RA5-ROM'!$A$11:$BN$18,MATCH(Summary!AW$1,'RA5-ROM'!$A$9:$BN$9,1),FALSE),0)+IFERROR(VLOOKUP($B17,'RA6-CHPP'!$A$11:$BN$18,MATCH(Summary!AW$1,'RA6-CHPP'!$A$9:$BN$9,1),FALSE),0)+IFERROR(VLOOKUP($B17,'RA7-Mine Infrastructure Area'!$A$11:$BN$18,MATCH(Summary!AW$1,'RA7-Mine Infrastructure Area'!$A$9:$BN$9,1),FALSE),0)+IFERROR(VLOOKUP($B17,'RA8-Water Management Structures'!$A$11:$BN$18,MATCH(Summary!AW$1,'RA8-Water Management Structures'!$A$9:$BN$9,1),FALSE),0)+IFERROR(VLOOKUP($B17,'RA9-Codisposal Upper'!$A$11:$BN$18,MATCH(Summary!AW$1,'RA9-Codisposal Upper'!$A$9:$BN$9,1),FALSE),0)+IFERROR(VLOOKUP($B17,'RA10-Codisposal Slopes'!$A$11:$BN$18,MATCH(Summary!AW$1,'RA10-Codisposal Slopes'!$A$9:$BN$9,1),FALSE),0)+IFERROR(VLOOKUP($B17,'IA1-Final Void inc Ramps'!$A$11:$BN$18,MATCH(Summary!AW$1,'IA1-Final Void inc Ramps'!$A$9:$BN$9,1),FALSE),0)</f>
        <v>569.90300000000002</v>
      </c>
      <c r="AX17" s="51">
        <f>IFERROR(VLOOKUP($B17,'RA1- Elevated Dumps Upper'!$A$11:$BN$18,MATCH(Summary!AX$1,'RA1- Elevated Dumps Upper'!$A$9:$BN$9,1),FALSE),0)+IFERROR(VLOOKUP($B17,'RA2-Elevated Dumps Slopes'!$A$11:$BN$18,MATCH(Summary!AX$1,'RA2-Elevated Dumps Slopes'!$A$9:$BN$9,1),FALSE),0)+IFERROR(VLOOKUP($B17,'RA3-Backfilled Pits'!$A$11:$BN$18,MATCH(Summary!AX$1,'RA3-Backfilled Pits'!$A$9:$BN$9,1),FALSE),0)+IFERROR(VLOOKUP($B17,'RA4-Tracks_Roads'!$A$11:$BN$18,MATCH(Summary!AX$1,'RA4-Tracks_Roads'!$A$9:$BN$9,1),FALSE),0)+IFERROR(VLOOKUP($B17,'RA5-ROM'!$A$11:$BN$18,MATCH(Summary!AX$1,'RA5-ROM'!$A$9:$BN$9,1),FALSE),0)+IFERROR(VLOOKUP($B17,'RA6-CHPP'!$A$11:$BN$18,MATCH(Summary!AX$1,'RA6-CHPP'!$A$9:$BN$9,1),FALSE),0)+IFERROR(VLOOKUP($B17,'RA7-Mine Infrastructure Area'!$A$11:$BN$18,MATCH(Summary!AX$1,'RA7-Mine Infrastructure Area'!$A$9:$BN$9,1),FALSE),0)+IFERROR(VLOOKUP($B17,'RA8-Water Management Structures'!$A$11:$BN$18,MATCH(Summary!AX$1,'RA8-Water Management Structures'!$A$9:$BN$9,1),FALSE),0)+IFERROR(VLOOKUP($B17,'RA9-Codisposal Upper'!$A$11:$BN$18,MATCH(Summary!AX$1,'RA9-Codisposal Upper'!$A$9:$BN$9,1),FALSE),0)+IFERROR(VLOOKUP($B17,'RA10-Codisposal Slopes'!$A$11:$BN$18,MATCH(Summary!AX$1,'RA10-Codisposal Slopes'!$A$9:$BN$9,1),FALSE),0)+IFERROR(VLOOKUP($B17,'IA1-Final Void inc Ramps'!$A$11:$BN$18,MATCH(Summary!AX$1,'IA1-Final Void inc Ramps'!$A$9:$BN$9,1),FALSE),0)</f>
        <v>569.90300000000002</v>
      </c>
      <c r="AY17" s="51">
        <f>IFERROR(VLOOKUP($B17,'RA1- Elevated Dumps Upper'!$A$11:$BN$18,MATCH(Summary!AY$1,'RA1- Elevated Dumps Upper'!$A$9:$BN$9,1),FALSE),0)+IFERROR(VLOOKUP($B17,'RA2-Elevated Dumps Slopes'!$A$11:$BN$18,MATCH(Summary!AY$1,'RA2-Elevated Dumps Slopes'!$A$9:$BN$9,1),FALSE),0)+IFERROR(VLOOKUP($B17,'RA3-Backfilled Pits'!$A$11:$BN$18,MATCH(Summary!AY$1,'RA3-Backfilled Pits'!$A$9:$BN$9,1),FALSE),0)+IFERROR(VLOOKUP($B17,'RA4-Tracks_Roads'!$A$11:$BN$18,MATCH(Summary!AY$1,'RA4-Tracks_Roads'!$A$9:$BN$9,1),FALSE),0)+IFERROR(VLOOKUP($B17,'RA5-ROM'!$A$11:$BN$18,MATCH(Summary!AY$1,'RA5-ROM'!$A$9:$BN$9,1),FALSE),0)+IFERROR(VLOOKUP($B17,'RA6-CHPP'!$A$11:$BN$18,MATCH(Summary!AY$1,'RA6-CHPP'!$A$9:$BN$9,1),FALSE),0)+IFERROR(VLOOKUP($B17,'RA7-Mine Infrastructure Area'!$A$11:$BN$18,MATCH(Summary!AY$1,'RA7-Mine Infrastructure Area'!$A$9:$BN$9,1),FALSE),0)+IFERROR(VLOOKUP($B17,'RA8-Water Management Structures'!$A$11:$BN$18,MATCH(Summary!AY$1,'RA8-Water Management Structures'!$A$9:$BN$9,1),FALSE),0)+IFERROR(VLOOKUP($B17,'RA9-Codisposal Upper'!$A$11:$BN$18,MATCH(Summary!AY$1,'RA9-Codisposal Upper'!$A$9:$BN$9,1),FALSE),0)+IFERROR(VLOOKUP($B17,'RA10-Codisposal Slopes'!$A$11:$BN$18,MATCH(Summary!AY$1,'RA10-Codisposal Slopes'!$A$9:$BN$9,1),FALSE),0)+IFERROR(VLOOKUP($B17,'IA1-Final Void inc Ramps'!$A$11:$BN$18,MATCH(Summary!AY$1,'IA1-Final Void inc Ramps'!$A$9:$BN$9,1),FALSE),0)</f>
        <v>569.90300000000002</v>
      </c>
      <c r="AZ17" s="51">
        <f>IFERROR(VLOOKUP($B17,'RA1- Elevated Dumps Upper'!$A$11:$BN$18,MATCH(Summary!AZ$1,'RA1- Elevated Dumps Upper'!$A$9:$BN$9,1),FALSE),0)+IFERROR(VLOOKUP($B17,'RA2-Elevated Dumps Slopes'!$A$11:$BN$18,MATCH(Summary!AZ$1,'RA2-Elevated Dumps Slopes'!$A$9:$BN$9,1),FALSE),0)+IFERROR(VLOOKUP($B17,'RA3-Backfilled Pits'!$A$11:$BN$18,MATCH(Summary!AZ$1,'RA3-Backfilled Pits'!$A$9:$BN$9,1),FALSE),0)+IFERROR(VLOOKUP($B17,'RA4-Tracks_Roads'!$A$11:$BN$18,MATCH(Summary!AZ$1,'RA4-Tracks_Roads'!$A$9:$BN$9,1),FALSE),0)+IFERROR(VLOOKUP($B17,'RA5-ROM'!$A$11:$BN$18,MATCH(Summary!AZ$1,'RA5-ROM'!$A$9:$BN$9,1),FALSE),0)+IFERROR(VLOOKUP($B17,'RA6-CHPP'!$A$11:$BN$18,MATCH(Summary!AZ$1,'RA6-CHPP'!$A$9:$BN$9,1),FALSE),0)+IFERROR(VLOOKUP($B17,'RA7-Mine Infrastructure Area'!$A$11:$BN$18,MATCH(Summary!AZ$1,'RA7-Mine Infrastructure Area'!$A$9:$BN$9,1),FALSE),0)+IFERROR(VLOOKUP($B17,'RA8-Water Management Structures'!$A$11:$BN$18,MATCH(Summary!AZ$1,'RA8-Water Management Structures'!$A$9:$BN$9,1),FALSE),0)+IFERROR(VLOOKUP($B17,'RA9-Codisposal Upper'!$A$11:$BN$18,MATCH(Summary!AZ$1,'RA9-Codisposal Upper'!$A$9:$BN$9,1),FALSE),0)+IFERROR(VLOOKUP($B17,'RA10-Codisposal Slopes'!$A$11:$BN$18,MATCH(Summary!AZ$1,'RA10-Codisposal Slopes'!$A$9:$BN$9,1),FALSE),0)+IFERROR(VLOOKUP($B17,'IA1-Final Void inc Ramps'!$A$11:$BN$18,MATCH(Summary!AZ$1,'IA1-Final Void inc Ramps'!$A$9:$BN$9,1),FALSE),0)</f>
        <v>569.90300000000002</v>
      </c>
      <c r="BA17" s="51">
        <f>IFERROR(VLOOKUP($B17,'RA1- Elevated Dumps Upper'!$A$11:$BN$18,MATCH(Summary!BA$1,'RA1- Elevated Dumps Upper'!$A$9:$BN$9,1),FALSE),0)+IFERROR(VLOOKUP($B17,'RA2-Elevated Dumps Slopes'!$A$11:$BN$18,MATCH(Summary!BA$1,'RA2-Elevated Dumps Slopes'!$A$9:$BN$9,1),FALSE),0)+IFERROR(VLOOKUP($B17,'RA3-Backfilled Pits'!$A$11:$BN$18,MATCH(Summary!BA$1,'RA3-Backfilled Pits'!$A$9:$BN$9,1),FALSE),0)+IFERROR(VLOOKUP($B17,'RA4-Tracks_Roads'!$A$11:$BN$18,MATCH(Summary!BA$1,'RA4-Tracks_Roads'!$A$9:$BN$9,1),FALSE),0)+IFERROR(VLOOKUP($B17,'RA5-ROM'!$A$11:$BN$18,MATCH(Summary!BA$1,'RA5-ROM'!$A$9:$BN$9,1),FALSE),0)+IFERROR(VLOOKUP($B17,'RA6-CHPP'!$A$11:$BN$18,MATCH(Summary!BA$1,'RA6-CHPP'!$A$9:$BN$9,1),FALSE),0)+IFERROR(VLOOKUP($B17,'RA7-Mine Infrastructure Area'!$A$11:$BN$18,MATCH(Summary!BA$1,'RA7-Mine Infrastructure Area'!$A$9:$BN$9,1),FALSE),0)+IFERROR(VLOOKUP($B17,'RA8-Water Management Structures'!$A$11:$BN$18,MATCH(Summary!BA$1,'RA8-Water Management Structures'!$A$9:$BN$9,1),FALSE),0)+IFERROR(VLOOKUP($B17,'RA9-Codisposal Upper'!$A$11:$BN$18,MATCH(Summary!BA$1,'RA9-Codisposal Upper'!$A$9:$BN$9,1),FALSE),0)+IFERROR(VLOOKUP($B17,'RA10-Codisposal Slopes'!$A$11:$BN$18,MATCH(Summary!BA$1,'RA10-Codisposal Slopes'!$A$9:$BN$9,1),FALSE),0)+IFERROR(VLOOKUP($B17,'IA1-Final Void inc Ramps'!$A$11:$BN$18,MATCH(Summary!BA$1,'IA1-Final Void inc Ramps'!$A$9:$BN$9,1),FALSE),0)</f>
        <v>569.90300000000002</v>
      </c>
      <c r="BB17" s="51">
        <f>IFERROR(VLOOKUP($B17,'RA1- Elevated Dumps Upper'!$A$11:$BN$18,MATCH(Summary!BB$1,'RA1- Elevated Dumps Upper'!$A$9:$BN$9,1),FALSE),0)+IFERROR(VLOOKUP($B17,'RA2-Elevated Dumps Slopes'!$A$11:$BN$18,MATCH(Summary!BB$1,'RA2-Elevated Dumps Slopes'!$A$9:$BN$9,1),FALSE),0)+IFERROR(VLOOKUP($B17,'RA3-Backfilled Pits'!$A$11:$BN$18,MATCH(Summary!BB$1,'RA3-Backfilled Pits'!$A$9:$BN$9,1),FALSE),0)+IFERROR(VLOOKUP($B17,'RA4-Tracks_Roads'!$A$11:$BN$18,MATCH(Summary!BB$1,'RA4-Tracks_Roads'!$A$9:$BN$9,1),FALSE),0)+IFERROR(VLOOKUP($B17,'RA5-ROM'!$A$11:$BN$18,MATCH(Summary!BB$1,'RA5-ROM'!$A$9:$BN$9,1),FALSE),0)+IFERROR(VLOOKUP($B17,'RA6-CHPP'!$A$11:$BN$18,MATCH(Summary!BB$1,'RA6-CHPP'!$A$9:$BN$9,1),FALSE),0)+IFERROR(VLOOKUP($B17,'RA7-Mine Infrastructure Area'!$A$11:$BN$18,MATCH(Summary!BB$1,'RA7-Mine Infrastructure Area'!$A$9:$BN$9,1),FALSE),0)+IFERROR(VLOOKUP($B17,'RA8-Water Management Structures'!$A$11:$BN$18,MATCH(Summary!BB$1,'RA8-Water Management Structures'!$A$9:$BN$9,1),FALSE),0)+IFERROR(VLOOKUP($B17,'RA9-Codisposal Upper'!$A$11:$BN$18,MATCH(Summary!BB$1,'RA9-Codisposal Upper'!$A$9:$BN$9,1),FALSE),0)+IFERROR(VLOOKUP($B17,'RA10-Codisposal Slopes'!$A$11:$BN$18,MATCH(Summary!BB$1,'RA10-Codisposal Slopes'!$A$9:$BN$9,1),FALSE),0)+IFERROR(VLOOKUP($B17,'IA1-Final Void inc Ramps'!$A$11:$BN$18,MATCH(Summary!BB$1,'IA1-Final Void inc Ramps'!$A$9:$BN$9,1),FALSE),0)</f>
        <v>569.90300000000002</v>
      </c>
      <c r="BC17" s="51">
        <f>IFERROR(VLOOKUP($B17,'RA1- Elevated Dumps Upper'!$A$11:$BN$18,MATCH(Summary!BC$1,'RA1- Elevated Dumps Upper'!$A$9:$BN$9,1),FALSE),0)+IFERROR(VLOOKUP($B17,'RA2-Elevated Dumps Slopes'!$A$11:$BN$18,MATCH(Summary!BC$1,'RA2-Elevated Dumps Slopes'!$A$9:$BN$9,1),FALSE),0)+IFERROR(VLOOKUP($B17,'RA3-Backfilled Pits'!$A$11:$BN$18,MATCH(Summary!BC$1,'RA3-Backfilled Pits'!$A$9:$BN$9,1),FALSE),0)+IFERROR(VLOOKUP($B17,'RA4-Tracks_Roads'!$A$11:$BN$18,MATCH(Summary!BC$1,'RA4-Tracks_Roads'!$A$9:$BN$9,1),FALSE),0)+IFERROR(VLOOKUP($B17,'RA5-ROM'!$A$11:$BN$18,MATCH(Summary!BC$1,'RA5-ROM'!$A$9:$BN$9,1),FALSE),0)+IFERROR(VLOOKUP($B17,'RA6-CHPP'!$A$11:$BN$18,MATCH(Summary!BC$1,'RA6-CHPP'!$A$9:$BN$9,1),FALSE),0)+IFERROR(VLOOKUP($B17,'RA7-Mine Infrastructure Area'!$A$11:$BN$18,MATCH(Summary!BC$1,'RA7-Mine Infrastructure Area'!$A$9:$BN$9,1),FALSE),0)+IFERROR(VLOOKUP($B17,'RA8-Water Management Structures'!$A$11:$BN$18,MATCH(Summary!BC$1,'RA8-Water Management Structures'!$A$9:$BN$9,1),FALSE),0)+IFERROR(VLOOKUP($B17,'RA9-Codisposal Upper'!$A$11:$BN$18,MATCH(Summary!BC$1,'RA9-Codisposal Upper'!$A$9:$BN$9,1),FALSE),0)+IFERROR(VLOOKUP($B17,'RA10-Codisposal Slopes'!$A$11:$BN$18,MATCH(Summary!BC$1,'RA10-Codisposal Slopes'!$A$9:$BN$9,1),FALSE),0)+IFERROR(VLOOKUP($B17,'IA1-Final Void inc Ramps'!$A$11:$BN$18,MATCH(Summary!BC$1,'IA1-Final Void inc Ramps'!$A$9:$BN$9,1),FALSE),0)</f>
        <v>569.90300000000002</v>
      </c>
      <c r="BD17" s="51">
        <f>IFERROR(VLOOKUP($B17,'RA1- Elevated Dumps Upper'!$A$11:$BN$18,MATCH(Summary!BD$1,'RA1- Elevated Dumps Upper'!$A$9:$BN$9,1),FALSE),0)+IFERROR(VLOOKUP($B17,'RA2-Elevated Dumps Slopes'!$A$11:$BN$18,MATCH(Summary!BD$1,'RA2-Elevated Dumps Slopes'!$A$9:$BN$9,1),FALSE),0)+IFERROR(VLOOKUP($B17,'RA3-Backfilled Pits'!$A$11:$BN$18,MATCH(Summary!BD$1,'RA3-Backfilled Pits'!$A$9:$BN$9,1),FALSE),0)+IFERROR(VLOOKUP($B17,'RA4-Tracks_Roads'!$A$11:$BN$18,MATCH(Summary!BD$1,'RA4-Tracks_Roads'!$A$9:$BN$9,1),FALSE),0)+IFERROR(VLOOKUP($B17,'RA5-ROM'!$A$11:$BN$18,MATCH(Summary!BD$1,'RA5-ROM'!$A$9:$BN$9,1),FALSE),0)+IFERROR(VLOOKUP($B17,'RA6-CHPP'!$A$11:$BN$18,MATCH(Summary!BD$1,'RA6-CHPP'!$A$9:$BN$9,1),FALSE),0)+IFERROR(VLOOKUP($B17,'RA7-Mine Infrastructure Area'!$A$11:$BN$18,MATCH(Summary!BD$1,'RA7-Mine Infrastructure Area'!$A$9:$BN$9,1),FALSE),0)+IFERROR(VLOOKUP($B17,'RA8-Water Management Structures'!$A$11:$BN$18,MATCH(Summary!BD$1,'RA8-Water Management Structures'!$A$9:$BN$9,1),FALSE),0)+IFERROR(VLOOKUP($B17,'RA9-Codisposal Upper'!$A$11:$BN$18,MATCH(Summary!BD$1,'RA9-Codisposal Upper'!$A$9:$BN$9,1),FALSE),0)+IFERROR(VLOOKUP($B17,'RA10-Codisposal Slopes'!$A$11:$BN$18,MATCH(Summary!BD$1,'RA10-Codisposal Slopes'!$A$9:$BN$9,1),FALSE),0)+IFERROR(VLOOKUP($B17,'IA1-Final Void inc Ramps'!$A$11:$BN$18,MATCH(Summary!BD$1,'IA1-Final Void inc Ramps'!$A$9:$BN$9,1),FALSE),0)</f>
        <v>569.90300000000002</v>
      </c>
      <c r="BE17" s="51">
        <f>IFERROR(VLOOKUP($B17,'RA1- Elevated Dumps Upper'!$A$11:$BN$18,MATCH(Summary!BE$1,'RA1- Elevated Dumps Upper'!$A$9:$BN$9,1),FALSE),0)+IFERROR(VLOOKUP($B17,'RA2-Elevated Dumps Slopes'!$A$11:$BN$18,MATCH(Summary!BE$1,'RA2-Elevated Dumps Slopes'!$A$9:$BN$9,1),FALSE),0)+IFERROR(VLOOKUP($B17,'RA3-Backfilled Pits'!$A$11:$BN$18,MATCH(Summary!BE$1,'RA3-Backfilled Pits'!$A$9:$BN$9,1),FALSE),0)+IFERROR(VLOOKUP($B17,'RA4-Tracks_Roads'!$A$11:$BN$18,MATCH(Summary!BE$1,'RA4-Tracks_Roads'!$A$9:$BN$9,1),FALSE),0)+IFERROR(VLOOKUP($B17,'RA5-ROM'!$A$11:$BN$18,MATCH(Summary!BE$1,'RA5-ROM'!$A$9:$BN$9,1),FALSE),0)+IFERROR(VLOOKUP($B17,'RA6-CHPP'!$A$11:$BN$18,MATCH(Summary!BE$1,'RA6-CHPP'!$A$9:$BN$9,1),FALSE),0)+IFERROR(VLOOKUP($B17,'RA7-Mine Infrastructure Area'!$A$11:$BN$18,MATCH(Summary!BE$1,'RA7-Mine Infrastructure Area'!$A$9:$BN$9,1),FALSE),0)+IFERROR(VLOOKUP($B17,'RA8-Water Management Structures'!$A$11:$BN$18,MATCH(Summary!BE$1,'RA8-Water Management Structures'!$A$9:$BN$9,1),FALSE),0)+IFERROR(VLOOKUP($B17,'RA9-Codisposal Upper'!$A$11:$BN$18,MATCH(Summary!BE$1,'RA9-Codisposal Upper'!$A$9:$BN$9,1),FALSE),0)+IFERROR(VLOOKUP($B17,'RA10-Codisposal Slopes'!$A$11:$BN$18,MATCH(Summary!BE$1,'RA10-Codisposal Slopes'!$A$9:$BN$9,1),FALSE),0)+IFERROR(VLOOKUP($B17,'IA1-Final Void inc Ramps'!$A$11:$BN$18,MATCH(Summary!BE$1,'IA1-Final Void inc Ramps'!$A$9:$BN$9,1),FALSE),0)</f>
        <v>569.90300000000002</v>
      </c>
      <c r="BF17" s="51">
        <f>IFERROR(VLOOKUP($B17,'RA1- Elevated Dumps Upper'!$A$11:$BN$18,MATCH(Summary!BF$1,'RA1- Elevated Dumps Upper'!$A$9:$BN$9,1),FALSE),0)+IFERROR(VLOOKUP($B17,'RA2-Elevated Dumps Slopes'!$A$11:$BN$18,MATCH(Summary!BF$1,'RA2-Elevated Dumps Slopes'!$A$9:$BN$9,1),FALSE),0)+IFERROR(VLOOKUP($B17,'RA3-Backfilled Pits'!$A$11:$BN$18,MATCH(Summary!BF$1,'RA3-Backfilled Pits'!$A$9:$BN$9,1),FALSE),0)+IFERROR(VLOOKUP($B17,'RA4-Tracks_Roads'!$A$11:$BN$18,MATCH(Summary!BF$1,'RA4-Tracks_Roads'!$A$9:$BN$9,1),FALSE),0)+IFERROR(VLOOKUP($B17,'RA5-ROM'!$A$11:$BN$18,MATCH(Summary!BF$1,'RA5-ROM'!$A$9:$BN$9,1),FALSE),0)+IFERROR(VLOOKUP($B17,'RA6-CHPP'!$A$11:$BN$18,MATCH(Summary!BF$1,'RA6-CHPP'!$A$9:$BN$9,1),FALSE),0)+IFERROR(VLOOKUP($B17,'RA7-Mine Infrastructure Area'!$A$11:$BN$18,MATCH(Summary!BF$1,'RA7-Mine Infrastructure Area'!$A$9:$BN$9,1),FALSE),0)+IFERROR(VLOOKUP($B17,'RA8-Water Management Structures'!$A$11:$BN$18,MATCH(Summary!BF$1,'RA8-Water Management Structures'!$A$9:$BN$9,1),FALSE),0)+IFERROR(VLOOKUP($B17,'RA9-Codisposal Upper'!$A$11:$BN$18,MATCH(Summary!BF$1,'RA9-Codisposal Upper'!$A$9:$BN$9,1),FALSE),0)+IFERROR(VLOOKUP($B17,'RA10-Codisposal Slopes'!$A$11:$BN$18,MATCH(Summary!BF$1,'RA10-Codisposal Slopes'!$A$9:$BN$9,1),FALSE),0)+IFERROR(VLOOKUP($B17,'IA1-Final Void inc Ramps'!$A$11:$BN$18,MATCH(Summary!BF$1,'IA1-Final Void inc Ramps'!$A$9:$BN$9,1),FALSE),0)</f>
        <v>569.90300000000002</v>
      </c>
      <c r="BG17" s="51">
        <f>IFERROR(VLOOKUP($B17,'RA1- Elevated Dumps Upper'!$A$11:$BN$18,MATCH(Summary!BG$1,'RA1- Elevated Dumps Upper'!$A$9:$BN$9,1),FALSE),0)+IFERROR(VLOOKUP($B17,'RA2-Elevated Dumps Slopes'!$A$11:$BN$18,MATCH(Summary!BG$1,'RA2-Elevated Dumps Slopes'!$A$9:$BN$9,1),FALSE),0)+IFERROR(VLOOKUP($B17,'RA3-Backfilled Pits'!$A$11:$BN$18,MATCH(Summary!BG$1,'RA3-Backfilled Pits'!$A$9:$BN$9,1),FALSE),0)+IFERROR(VLOOKUP($B17,'RA4-Tracks_Roads'!$A$11:$BN$18,MATCH(Summary!BG$1,'RA4-Tracks_Roads'!$A$9:$BN$9,1),FALSE),0)+IFERROR(VLOOKUP($B17,'RA5-ROM'!$A$11:$BN$18,MATCH(Summary!BG$1,'RA5-ROM'!$A$9:$BN$9,1),FALSE),0)+IFERROR(VLOOKUP($B17,'RA6-CHPP'!$A$11:$BN$18,MATCH(Summary!BG$1,'RA6-CHPP'!$A$9:$BN$9,1),FALSE),0)+IFERROR(VLOOKUP($B17,'RA7-Mine Infrastructure Area'!$A$11:$BN$18,MATCH(Summary!BG$1,'RA7-Mine Infrastructure Area'!$A$9:$BN$9,1),FALSE),0)+IFERROR(VLOOKUP($B17,'RA8-Water Management Structures'!$A$11:$BN$18,MATCH(Summary!BG$1,'RA8-Water Management Structures'!$A$9:$BN$9,1),FALSE),0)+IFERROR(VLOOKUP($B17,'RA9-Codisposal Upper'!$A$11:$BN$18,MATCH(Summary!BG$1,'RA9-Codisposal Upper'!$A$9:$BN$9,1),FALSE),0)+IFERROR(VLOOKUP($B17,'RA10-Codisposal Slopes'!$A$11:$BN$18,MATCH(Summary!BG$1,'RA10-Codisposal Slopes'!$A$9:$BN$9,1),FALSE),0)+IFERROR(VLOOKUP($B17,'IA1-Final Void inc Ramps'!$A$11:$BN$18,MATCH(Summary!BG$1,'IA1-Final Void inc Ramps'!$A$9:$BN$9,1),FALSE),0)</f>
        <v>569.90300000000002</v>
      </c>
      <c r="BH17" s="51">
        <f>IFERROR(VLOOKUP($B17,'RA1- Elevated Dumps Upper'!$A$11:$BN$18,MATCH(Summary!BH$1,'RA1- Elevated Dumps Upper'!$A$9:$BN$9,1),FALSE),0)+IFERROR(VLOOKUP($B17,'RA2-Elevated Dumps Slopes'!$A$11:$BN$18,MATCH(Summary!BH$1,'RA2-Elevated Dumps Slopes'!$A$9:$BN$9,1),FALSE),0)+IFERROR(VLOOKUP($B17,'RA3-Backfilled Pits'!$A$11:$BN$18,MATCH(Summary!BH$1,'RA3-Backfilled Pits'!$A$9:$BN$9,1),FALSE),0)+IFERROR(VLOOKUP($B17,'RA4-Tracks_Roads'!$A$11:$BN$18,MATCH(Summary!BH$1,'RA4-Tracks_Roads'!$A$9:$BN$9,1),FALSE),0)+IFERROR(VLOOKUP($B17,'RA5-ROM'!$A$11:$BN$18,MATCH(Summary!BH$1,'RA5-ROM'!$A$9:$BN$9,1),FALSE),0)+IFERROR(VLOOKUP($B17,'RA6-CHPP'!$A$11:$BN$18,MATCH(Summary!BH$1,'RA6-CHPP'!$A$9:$BN$9,1),FALSE),0)+IFERROR(VLOOKUP($B17,'RA7-Mine Infrastructure Area'!$A$11:$BN$18,MATCH(Summary!BH$1,'RA7-Mine Infrastructure Area'!$A$9:$BN$9,1),FALSE),0)+IFERROR(VLOOKUP($B17,'RA8-Water Management Structures'!$A$11:$BN$18,MATCH(Summary!BH$1,'RA8-Water Management Structures'!$A$9:$BN$9,1),FALSE),0)+IFERROR(VLOOKUP($B17,'RA9-Codisposal Upper'!$A$11:$BN$18,MATCH(Summary!BH$1,'RA9-Codisposal Upper'!$A$9:$BN$9,1),FALSE),0)+IFERROR(VLOOKUP($B17,'RA10-Codisposal Slopes'!$A$11:$BN$18,MATCH(Summary!BH$1,'RA10-Codisposal Slopes'!$A$9:$BN$9,1),FALSE),0)+IFERROR(VLOOKUP($B17,'IA1-Final Void inc Ramps'!$A$11:$BN$18,MATCH(Summary!BH$1,'IA1-Final Void inc Ramps'!$A$9:$BN$9,1),FALSE),0)</f>
        <v>569.90300000000002</v>
      </c>
      <c r="BI17" s="51">
        <f>IFERROR(VLOOKUP($B17,'RA1- Elevated Dumps Upper'!$A$11:$BN$18,MATCH(Summary!BI$1,'RA1- Elevated Dumps Upper'!$A$9:$BN$9,1),FALSE),0)+IFERROR(VLOOKUP($B17,'RA2-Elevated Dumps Slopes'!$A$11:$BN$18,MATCH(Summary!BI$1,'RA2-Elevated Dumps Slopes'!$A$9:$BN$9,1),FALSE),0)+IFERROR(VLOOKUP($B17,'RA3-Backfilled Pits'!$A$11:$BN$18,MATCH(Summary!BI$1,'RA3-Backfilled Pits'!$A$9:$BN$9,1),FALSE),0)+IFERROR(VLOOKUP($B17,'RA4-Tracks_Roads'!$A$11:$BN$18,MATCH(Summary!BI$1,'RA4-Tracks_Roads'!$A$9:$BN$9,1),FALSE),0)+IFERROR(VLOOKUP($B17,'RA5-ROM'!$A$11:$BN$18,MATCH(Summary!BI$1,'RA5-ROM'!$A$9:$BN$9,1),FALSE),0)+IFERROR(VLOOKUP($B17,'RA6-CHPP'!$A$11:$BN$18,MATCH(Summary!BI$1,'RA6-CHPP'!$A$9:$BN$9,1),FALSE),0)+IFERROR(VLOOKUP($B17,'RA7-Mine Infrastructure Area'!$A$11:$BN$18,MATCH(Summary!BI$1,'RA7-Mine Infrastructure Area'!$A$9:$BN$9,1),FALSE),0)+IFERROR(VLOOKUP($B17,'RA8-Water Management Structures'!$A$11:$BN$18,MATCH(Summary!BI$1,'RA8-Water Management Structures'!$A$9:$BN$9,1),FALSE),0)+IFERROR(VLOOKUP($B17,'RA9-Codisposal Upper'!$A$11:$BN$18,MATCH(Summary!BI$1,'RA9-Codisposal Upper'!$A$9:$BN$9,1),FALSE),0)+IFERROR(VLOOKUP($B17,'RA10-Codisposal Slopes'!$A$11:$BN$18,MATCH(Summary!BI$1,'RA10-Codisposal Slopes'!$A$9:$BN$9,1),FALSE),0)+IFERROR(VLOOKUP($B17,'IA1-Final Void inc Ramps'!$A$11:$BN$18,MATCH(Summary!BI$1,'IA1-Final Void inc Ramps'!$A$9:$BN$9,1),FALSE),0)</f>
        <v>569.90300000000002</v>
      </c>
      <c r="BJ17" s="51">
        <f>IFERROR(VLOOKUP($B17,'RA1- Elevated Dumps Upper'!$A$11:$BN$18,MATCH(Summary!BJ$1,'RA1- Elevated Dumps Upper'!$A$9:$BN$9,1),FALSE),0)+IFERROR(VLOOKUP($B17,'RA2-Elevated Dumps Slopes'!$A$11:$BN$18,MATCH(Summary!BJ$1,'RA2-Elevated Dumps Slopes'!$A$9:$BN$9,1),FALSE),0)+IFERROR(VLOOKUP($B17,'RA3-Backfilled Pits'!$A$11:$BN$18,MATCH(Summary!BJ$1,'RA3-Backfilled Pits'!$A$9:$BN$9,1),FALSE),0)+IFERROR(VLOOKUP($B17,'RA4-Tracks_Roads'!$A$11:$BN$18,MATCH(Summary!BJ$1,'RA4-Tracks_Roads'!$A$9:$BN$9,1),FALSE),0)+IFERROR(VLOOKUP($B17,'RA5-ROM'!$A$11:$BN$18,MATCH(Summary!BJ$1,'RA5-ROM'!$A$9:$BN$9,1),FALSE),0)+IFERROR(VLOOKUP($B17,'RA6-CHPP'!$A$11:$BN$18,MATCH(Summary!BJ$1,'RA6-CHPP'!$A$9:$BN$9,1),FALSE),0)+IFERROR(VLOOKUP($B17,'RA7-Mine Infrastructure Area'!$A$11:$BN$18,MATCH(Summary!BJ$1,'RA7-Mine Infrastructure Area'!$A$9:$BN$9,1),FALSE),0)+IFERROR(VLOOKUP($B17,'RA8-Water Management Structures'!$A$11:$BN$18,MATCH(Summary!BJ$1,'RA8-Water Management Structures'!$A$9:$BN$9,1),FALSE),0)+IFERROR(VLOOKUP($B17,'RA9-Codisposal Upper'!$A$11:$BN$18,MATCH(Summary!BJ$1,'RA9-Codisposal Upper'!$A$9:$BN$9,1),FALSE),0)+IFERROR(VLOOKUP($B17,'RA10-Codisposal Slopes'!$A$11:$BN$18,MATCH(Summary!BJ$1,'RA10-Codisposal Slopes'!$A$9:$BN$9,1),FALSE),0)+IFERROR(VLOOKUP($B17,'IA1-Final Void inc Ramps'!$A$11:$BN$18,MATCH(Summary!BJ$1,'IA1-Final Void inc Ramps'!$A$9:$BN$9,1),FALSE),0)</f>
        <v>569.90300000000002</v>
      </c>
      <c r="BK17" s="51">
        <f>IFERROR(VLOOKUP($B17,'RA1- Elevated Dumps Upper'!$A$11:$BN$18,MATCH(Summary!BK$1,'RA1- Elevated Dumps Upper'!$A$9:$BN$9,1),FALSE),0)+IFERROR(VLOOKUP($B17,'RA2-Elevated Dumps Slopes'!$A$11:$BN$18,MATCH(Summary!BK$1,'RA2-Elevated Dumps Slopes'!$A$9:$BN$9,1),FALSE),0)+IFERROR(VLOOKUP($B17,'RA3-Backfilled Pits'!$A$11:$BN$18,MATCH(Summary!BK$1,'RA3-Backfilled Pits'!$A$9:$BN$9,1),FALSE),0)+IFERROR(VLOOKUP($B17,'RA4-Tracks_Roads'!$A$11:$BN$18,MATCH(Summary!BK$1,'RA4-Tracks_Roads'!$A$9:$BN$9,1),FALSE),0)+IFERROR(VLOOKUP($B17,'RA5-ROM'!$A$11:$BN$18,MATCH(Summary!BK$1,'RA5-ROM'!$A$9:$BN$9,1),FALSE),0)+IFERROR(VLOOKUP($B17,'RA6-CHPP'!$A$11:$BN$18,MATCH(Summary!BK$1,'RA6-CHPP'!$A$9:$BN$9,1),FALSE),0)+IFERROR(VLOOKUP($B17,'RA7-Mine Infrastructure Area'!$A$11:$BN$18,MATCH(Summary!BK$1,'RA7-Mine Infrastructure Area'!$A$9:$BN$9,1),FALSE),0)+IFERROR(VLOOKUP($B17,'RA8-Water Management Structures'!$A$11:$BN$18,MATCH(Summary!BK$1,'RA8-Water Management Structures'!$A$9:$BN$9,1),FALSE),0)+IFERROR(VLOOKUP($B17,'RA9-Codisposal Upper'!$A$11:$BN$18,MATCH(Summary!BK$1,'RA9-Codisposal Upper'!$A$9:$BN$9,1),FALSE),0)+IFERROR(VLOOKUP($B17,'RA10-Codisposal Slopes'!$A$11:$BN$18,MATCH(Summary!BK$1,'RA10-Codisposal Slopes'!$A$9:$BN$9,1),FALSE),0)+IFERROR(VLOOKUP($B17,'IA1-Final Void inc Ramps'!$A$11:$BN$18,MATCH(Summary!BK$1,'IA1-Final Void inc Ramps'!$A$9:$BN$9,1),FALSE),0)</f>
        <v>569.90300000000002</v>
      </c>
      <c r="BL17" s="51">
        <f>IFERROR(VLOOKUP($B17,'RA1- Elevated Dumps Upper'!$A$11:$BN$18,MATCH(Summary!BL$1,'RA1- Elevated Dumps Upper'!$A$9:$BN$9,1),FALSE),0)+IFERROR(VLOOKUP($B17,'RA2-Elevated Dumps Slopes'!$A$11:$BN$18,MATCH(Summary!BL$1,'RA2-Elevated Dumps Slopes'!$A$9:$BN$9,1),FALSE),0)+IFERROR(VLOOKUP($B17,'RA3-Backfilled Pits'!$A$11:$BN$18,MATCH(Summary!BL$1,'RA3-Backfilled Pits'!$A$9:$BN$9,1),FALSE),0)+IFERROR(VLOOKUP($B17,'RA4-Tracks_Roads'!$A$11:$BN$18,MATCH(Summary!BL$1,'RA4-Tracks_Roads'!$A$9:$BN$9,1),FALSE),0)+IFERROR(VLOOKUP($B17,'RA5-ROM'!$A$11:$BN$18,MATCH(Summary!BL$1,'RA5-ROM'!$A$9:$BN$9,1),FALSE),0)+IFERROR(VLOOKUP($B17,'RA6-CHPP'!$A$11:$BN$18,MATCH(Summary!BL$1,'RA6-CHPP'!$A$9:$BN$9,1),FALSE),0)+IFERROR(VLOOKUP($B17,'RA7-Mine Infrastructure Area'!$A$11:$BN$18,MATCH(Summary!BL$1,'RA7-Mine Infrastructure Area'!$A$9:$BN$9,1),FALSE),0)+IFERROR(VLOOKUP($B17,'RA8-Water Management Structures'!$A$11:$BN$18,MATCH(Summary!BL$1,'RA8-Water Management Structures'!$A$9:$BN$9,1),FALSE),0)+IFERROR(VLOOKUP($B17,'RA9-Codisposal Upper'!$A$11:$BN$18,MATCH(Summary!BL$1,'RA9-Codisposal Upper'!$A$9:$BN$9,1),FALSE),0)+IFERROR(VLOOKUP($B17,'RA10-Codisposal Slopes'!$A$11:$BN$18,MATCH(Summary!BL$1,'RA10-Codisposal Slopes'!$A$9:$BN$9,1),FALSE),0)+IFERROR(VLOOKUP($B17,'IA1-Final Void inc Ramps'!$A$11:$BN$18,MATCH(Summary!BL$1,'IA1-Final Void inc Ramps'!$A$9:$BN$9,1),FALSE),0)</f>
        <v>569.90300000000002</v>
      </c>
      <c r="BM17" s="51">
        <f>IFERROR(VLOOKUP($B17,'RA1- Elevated Dumps Upper'!$A$11:$BN$18,MATCH(Summary!BM$1,'RA1- Elevated Dumps Upper'!$A$9:$BN$9,1),FALSE),0)+IFERROR(VLOOKUP($B17,'RA2-Elevated Dumps Slopes'!$A$11:$BN$18,MATCH(Summary!BM$1,'RA2-Elevated Dumps Slopes'!$A$9:$BN$9,1),FALSE),0)+IFERROR(VLOOKUP($B17,'RA3-Backfilled Pits'!$A$11:$BN$18,MATCH(Summary!BM$1,'RA3-Backfilled Pits'!$A$9:$BN$9,1),FALSE),0)+IFERROR(VLOOKUP($B17,'RA4-Tracks_Roads'!$A$11:$BN$18,MATCH(Summary!BM$1,'RA4-Tracks_Roads'!$A$9:$BN$9,1),FALSE),0)+IFERROR(VLOOKUP($B17,'RA5-ROM'!$A$11:$BN$18,MATCH(Summary!BM$1,'RA5-ROM'!$A$9:$BN$9,1),FALSE),0)+IFERROR(VLOOKUP($B17,'RA6-CHPP'!$A$11:$BN$18,MATCH(Summary!BM$1,'RA6-CHPP'!$A$9:$BN$9,1),FALSE),0)+IFERROR(VLOOKUP($B17,'RA7-Mine Infrastructure Area'!$A$11:$BN$18,MATCH(Summary!BM$1,'RA7-Mine Infrastructure Area'!$A$9:$BN$9,1),FALSE),0)+IFERROR(VLOOKUP($B17,'RA8-Water Management Structures'!$A$11:$BN$18,MATCH(Summary!BM$1,'RA8-Water Management Structures'!$A$9:$BN$9,1),FALSE),0)+IFERROR(VLOOKUP($B17,'RA9-Codisposal Upper'!$A$11:$BN$18,MATCH(Summary!BM$1,'RA9-Codisposal Upper'!$A$9:$BN$9,1),FALSE),0)+IFERROR(VLOOKUP($B17,'RA10-Codisposal Slopes'!$A$11:$BN$18,MATCH(Summary!BM$1,'RA10-Codisposal Slopes'!$A$9:$BN$9,1),FALSE),0)+IFERROR(VLOOKUP($B17,'IA1-Final Void inc Ramps'!$A$11:$BN$18,MATCH(Summary!BM$1,'IA1-Final Void inc Ramps'!$A$9:$BN$9,1),FALSE),0)</f>
        <v>569.90300000000002</v>
      </c>
      <c r="BN17" s="51">
        <f>IFERROR(VLOOKUP($B17,'RA1- Elevated Dumps Upper'!$A$11:$BN$18,MATCH(Summary!BN$1,'RA1- Elevated Dumps Upper'!$A$9:$BN$9,1),FALSE),0)+IFERROR(VLOOKUP($B17,'RA2-Elevated Dumps Slopes'!$A$11:$BN$18,MATCH(Summary!BN$1,'RA2-Elevated Dumps Slopes'!$A$9:$BN$9,1),FALSE),0)+IFERROR(VLOOKUP($B17,'RA3-Backfilled Pits'!$A$11:$BN$18,MATCH(Summary!BN$1,'RA3-Backfilled Pits'!$A$9:$BN$9,1),FALSE),0)+IFERROR(VLOOKUP($B17,'RA4-Tracks_Roads'!$A$11:$BN$18,MATCH(Summary!BN$1,'RA4-Tracks_Roads'!$A$9:$BN$9,1),FALSE),0)+IFERROR(VLOOKUP($B17,'RA5-ROM'!$A$11:$BN$18,MATCH(Summary!BN$1,'RA5-ROM'!$A$9:$BN$9,1),FALSE),0)+IFERROR(VLOOKUP($B17,'RA6-CHPP'!$A$11:$BN$18,MATCH(Summary!BN$1,'RA6-CHPP'!$A$9:$BN$9,1),FALSE),0)+IFERROR(VLOOKUP($B17,'RA7-Mine Infrastructure Area'!$A$11:$BN$18,MATCH(Summary!BN$1,'RA7-Mine Infrastructure Area'!$A$9:$BN$9,1),FALSE),0)+IFERROR(VLOOKUP($B17,'RA8-Water Management Structures'!$A$11:$BN$18,MATCH(Summary!BN$1,'RA8-Water Management Structures'!$A$9:$BN$9,1),FALSE),0)+IFERROR(VLOOKUP($B17,'RA9-Codisposal Upper'!$A$11:$BN$18,MATCH(Summary!BN$1,'RA9-Codisposal Upper'!$A$9:$BN$9,1),FALSE),0)+IFERROR(VLOOKUP($B17,'RA10-Codisposal Slopes'!$A$11:$BN$18,MATCH(Summary!BN$1,'RA10-Codisposal Slopes'!$A$9:$BN$9,1),FALSE),0)+IFERROR(VLOOKUP($B17,'IA1-Final Void inc Ramps'!$A$11:$BN$18,MATCH(Summary!BN$1,'IA1-Final Void inc Ramps'!$A$9:$BN$9,1),FALSE),0)</f>
        <v>569.90300000000002</v>
      </c>
    </row>
    <row r="18" spans="1:66" x14ac:dyDescent="0.35">
      <c r="B18" t="s">
        <v>11</v>
      </c>
      <c r="D18" s="51">
        <f>IFERROR(VLOOKUP($B18,'RA1- Elevated Dumps Upper'!$A$11:$BN$18,MATCH(Summary!D$1,'RA1- Elevated Dumps Upper'!$A$9:$BN$9,1),FALSE),0)+IFERROR(VLOOKUP($B18,'RA2-Elevated Dumps Slopes'!$A$11:$BN$18,MATCH(Summary!D$1,'RA2-Elevated Dumps Slopes'!$A$9:$BN$9,1),FALSE),0)+IFERROR(VLOOKUP($B18,'RA3-Backfilled Pits'!$A$11:$BN$18,MATCH(Summary!D$1,'RA3-Backfilled Pits'!$A$9:$BN$9,1),FALSE),0)+IFERROR(VLOOKUP($B18,'RA4-Tracks_Roads'!$A$11:$BN$18,MATCH(Summary!D$1,'RA4-Tracks_Roads'!$A$9:$BN$9,1),FALSE),0)+IFERROR(VLOOKUP($B18,'RA5-ROM'!$A$11:$BN$18,MATCH(Summary!D$1,'RA5-ROM'!$A$9:$BN$9,1),FALSE),0)+IFERROR(VLOOKUP($B18,'RA6-CHPP'!$A$11:$BN$18,MATCH(Summary!D$1,'RA6-CHPP'!$A$9:$BN$9,1),FALSE),0)+IFERROR(VLOOKUP($B18,'RA7-Mine Infrastructure Area'!$A$11:$BN$18,MATCH(Summary!D$1,'RA7-Mine Infrastructure Area'!$A$9:$BN$9,1),FALSE),0)+IFERROR(VLOOKUP($B18,'RA8-Water Management Structures'!$A$11:$BN$18,MATCH(Summary!D$1,'RA8-Water Management Structures'!$A$9:$BN$9,1),FALSE),0)+IFERROR(VLOOKUP($B18,'RA9-Codisposal Upper'!$A$11:$BN$18,MATCH(Summary!D$1,'RA9-Codisposal Upper'!$A$9:$BN$9,1),FALSE),0)+IFERROR(VLOOKUP($B18,'RA10-Codisposal Slopes'!$A$11:$BN$18,MATCH(Summary!D$1,'RA10-Codisposal Slopes'!$A$9:$BN$9,1),FALSE),0)+IFERROR(VLOOKUP($B18,'IA1-Final Void inc Ramps'!$A$11:$BN$18,MATCH(Summary!D$1,'IA1-Final Void inc Ramps'!$A$9:$BN$9,1),FALSE),0)</f>
        <v>0</v>
      </c>
      <c r="E18" s="51">
        <f>IFERROR(VLOOKUP($B18,'RA1- Elevated Dumps Upper'!$A$11:$BN$18,MATCH(Summary!E$1,'RA1- Elevated Dumps Upper'!$A$9:$BN$9,1),FALSE),0)+IFERROR(VLOOKUP($B18,'RA2-Elevated Dumps Slopes'!$A$11:$BN$18,MATCH(Summary!E$1,'RA2-Elevated Dumps Slopes'!$A$9:$BN$9,1),FALSE),0)+IFERROR(VLOOKUP($B18,'RA3-Backfilled Pits'!$A$11:$BN$18,MATCH(Summary!E$1,'RA3-Backfilled Pits'!$A$9:$BN$9,1),FALSE),0)+IFERROR(VLOOKUP($B18,'RA4-Tracks_Roads'!$A$11:$BN$18,MATCH(Summary!E$1,'RA4-Tracks_Roads'!$A$9:$BN$9,1),FALSE),0)+IFERROR(VLOOKUP($B18,'RA5-ROM'!$A$11:$BN$18,MATCH(Summary!E$1,'RA5-ROM'!$A$9:$BN$9,1),FALSE),0)+IFERROR(VLOOKUP($B18,'RA6-CHPP'!$A$11:$BN$18,MATCH(Summary!E$1,'RA6-CHPP'!$A$9:$BN$9,1),FALSE),0)+IFERROR(VLOOKUP($B18,'RA7-Mine Infrastructure Area'!$A$11:$BN$18,MATCH(Summary!E$1,'RA7-Mine Infrastructure Area'!$A$9:$BN$9,1),FALSE),0)+IFERROR(VLOOKUP($B18,'RA8-Water Management Structures'!$A$11:$BN$18,MATCH(Summary!E$1,'RA8-Water Management Structures'!$A$9:$BN$9,1),FALSE),0)+IFERROR(VLOOKUP($B18,'RA9-Codisposal Upper'!$A$11:$BN$18,MATCH(Summary!E$1,'RA9-Codisposal Upper'!$A$9:$BN$9,1),FALSE),0)+IFERROR(VLOOKUP($B18,'RA10-Codisposal Slopes'!$A$11:$BN$18,MATCH(Summary!E$1,'RA10-Codisposal Slopes'!$A$9:$BN$9,1),FALSE),0)+IFERROR(VLOOKUP($B18,'IA1-Final Void inc Ramps'!$A$11:$BN$18,MATCH(Summary!E$1,'IA1-Final Void inc Ramps'!$A$9:$BN$9,1),FALSE),0)</f>
        <v>0</v>
      </c>
      <c r="F18" s="51">
        <f>IFERROR(VLOOKUP($B18,'RA1- Elevated Dumps Upper'!$A$11:$BN$18,MATCH(Summary!F$1,'RA1- Elevated Dumps Upper'!$A$9:$BN$9,1),FALSE),0)+IFERROR(VLOOKUP($B18,'RA2-Elevated Dumps Slopes'!$A$11:$BN$18,MATCH(Summary!F$1,'RA2-Elevated Dumps Slopes'!$A$9:$BN$9,1),FALSE),0)+IFERROR(VLOOKUP($B18,'RA3-Backfilled Pits'!$A$11:$BN$18,MATCH(Summary!F$1,'RA3-Backfilled Pits'!$A$9:$BN$9,1),FALSE),0)+IFERROR(VLOOKUP($B18,'RA4-Tracks_Roads'!$A$11:$BN$18,MATCH(Summary!F$1,'RA4-Tracks_Roads'!$A$9:$BN$9,1),FALSE),0)+IFERROR(VLOOKUP($B18,'RA5-ROM'!$A$11:$BN$18,MATCH(Summary!F$1,'RA5-ROM'!$A$9:$BN$9,1),FALSE),0)+IFERROR(VLOOKUP($B18,'RA6-CHPP'!$A$11:$BN$18,MATCH(Summary!F$1,'RA6-CHPP'!$A$9:$BN$9,1),FALSE),0)+IFERROR(VLOOKUP($B18,'RA7-Mine Infrastructure Area'!$A$11:$BN$18,MATCH(Summary!F$1,'RA7-Mine Infrastructure Area'!$A$9:$BN$9,1),FALSE),0)+IFERROR(VLOOKUP($B18,'RA8-Water Management Structures'!$A$11:$BN$18,MATCH(Summary!F$1,'RA8-Water Management Structures'!$A$9:$BN$9,1),FALSE),0)+IFERROR(VLOOKUP($B18,'RA9-Codisposal Upper'!$A$11:$BN$18,MATCH(Summary!F$1,'RA9-Codisposal Upper'!$A$9:$BN$9,1),FALSE),0)+IFERROR(VLOOKUP($B18,'RA10-Codisposal Slopes'!$A$11:$BN$18,MATCH(Summary!F$1,'RA10-Codisposal Slopes'!$A$9:$BN$9,1),FALSE),0)+IFERROR(VLOOKUP($B18,'IA1-Final Void inc Ramps'!$A$11:$BN$18,MATCH(Summary!F$1,'IA1-Final Void inc Ramps'!$A$9:$BN$9,1),FALSE),0)</f>
        <v>0</v>
      </c>
      <c r="G18" s="51">
        <f>IFERROR(VLOOKUP($B18,'RA1- Elevated Dumps Upper'!$A$11:$BN$18,MATCH(Summary!G$1,'RA1- Elevated Dumps Upper'!$A$9:$BN$9,1),FALSE),0)+IFERROR(VLOOKUP($B18,'RA2-Elevated Dumps Slopes'!$A$11:$BN$18,MATCH(Summary!G$1,'RA2-Elevated Dumps Slopes'!$A$9:$BN$9,1),FALSE),0)+IFERROR(VLOOKUP($B18,'RA3-Backfilled Pits'!$A$11:$BN$18,MATCH(Summary!G$1,'RA3-Backfilled Pits'!$A$9:$BN$9,1),FALSE),0)+IFERROR(VLOOKUP($B18,'RA4-Tracks_Roads'!$A$11:$BN$18,MATCH(Summary!G$1,'RA4-Tracks_Roads'!$A$9:$BN$9,1),FALSE),0)+IFERROR(VLOOKUP($B18,'RA5-ROM'!$A$11:$BN$18,MATCH(Summary!G$1,'RA5-ROM'!$A$9:$BN$9,1),FALSE),0)+IFERROR(VLOOKUP($B18,'RA6-CHPP'!$A$11:$BN$18,MATCH(Summary!G$1,'RA6-CHPP'!$A$9:$BN$9,1),FALSE),0)+IFERROR(VLOOKUP($B18,'RA7-Mine Infrastructure Area'!$A$11:$BN$18,MATCH(Summary!G$1,'RA7-Mine Infrastructure Area'!$A$9:$BN$9,1),FALSE),0)+IFERROR(VLOOKUP($B18,'RA8-Water Management Structures'!$A$11:$BN$18,MATCH(Summary!G$1,'RA8-Water Management Structures'!$A$9:$BN$9,1),FALSE),0)+IFERROR(VLOOKUP($B18,'RA9-Codisposal Upper'!$A$11:$BN$18,MATCH(Summary!G$1,'RA9-Codisposal Upper'!$A$9:$BN$9,1),FALSE),0)+IFERROR(VLOOKUP($B18,'RA10-Codisposal Slopes'!$A$11:$BN$18,MATCH(Summary!G$1,'RA10-Codisposal Slopes'!$A$9:$BN$9,1),FALSE),0)+IFERROR(VLOOKUP($B18,'IA1-Final Void inc Ramps'!$A$11:$BN$18,MATCH(Summary!G$1,'IA1-Final Void inc Ramps'!$A$9:$BN$9,1),FALSE),0)</f>
        <v>0</v>
      </c>
      <c r="H18" s="51">
        <f>IFERROR(VLOOKUP($B18,'RA1- Elevated Dumps Upper'!$A$11:$BN$18,MATCH(Summary!H$1,'RA1- Elevated Dumps Upper'!$A$9:$BN$9,1),FALSE),0)+IFERROR(VLOOKUP($B18,'RA2-Elevated Dumps Slopes'!$A$11:$BN$18,MATCH(Summary!H$1,'RA2-Elevated Dumps Slopes'!$A$9:$BN$9,1),FALSE),0)+IFERROR(VLOOKUP($B18,'RA3-Backfilled Pits'!$A$11:$BN$18,MATCH(Summary!H$1,'RA3-Backfilled Pits'!$A$9:$BN$9,1),FALSE),0)+IFERROR(VLOOKUP($B18,'RA4-Tracks_Roads'!$A$11:$BN$18,MATCH(Summary!H$1,'RA4-Tracks_Roads'!$A$9:$BN$9,1),FALSE),0)+IFERROR(VLOOKUP($B18,'RA5-ROM'!$A$11:$BN$18,MATCH(Summary!H$1,'RA5-ROM'!$A$9:$BN$9,1),FALSE),0)+IFERROR(VLOOKUP($B18,'RA6-CHPP'!$A$11:$BN$18,MATCH(Summary!H$1,'RA6-CHPP'!$A$9:$BN$9,1),FALSE),0)+IFERROR(VLOOKUP($B18,'RA7-Mine Infrastructure Area'!$A$11:$BN$18,MATCH(Summary!H$1,'RA7-Mine Infrastructure Area'!$A$9:$BN$9,1),FALSE),0)+IFERROR(VLOOKUP($B18,'RA8-Water Management Structures'!$A$11:$BN$18,MATCH(Summary!H$1,'RA8-Water Management Structures'!$A$9:$BN$9,1),FALSE),0)+IFERROR(VLOOKUP($B18,'RA9-Codisposal Upper'!$A$11:$BN$18,MATCH(Summary!H$1,'RA9-Codisposal Upper'!$A$9:$BN$9,1),FALSE),0)+IFERROR(VLOOKUP($B18,'RA10-Codisposal Slopes'!$A$11:$BN$18,MATCH(Summary!H$1,'RA10-Codisposal Slopes'!$A$9:$BN$9,1),FALSE),0)+IFERROR(VLOOKUP($B18,'IA1-Final Void inc Ramps'!$A$11:$BN$18,MATCH(Summary!H$1,'IA1-Final Void inc Ramps'!$A$9:$BN$9,1),FALSE),0)</f>
        <v>0</v>
      </c>
      <c r="I18" s="51">
        <f>IFERROR(VLOOKUP($B18,'RA1- Elevated Dumps Upper'!$A$11:$BN$18,MATCH(Summary!I$1,'RA1- Elevated Dumps Upper'!$A$9:$BN$9,1),FALSE),0)+IFERROR(VLOOKUP($B18,'RA2-Elevated Dumps Slopes'!$A$11:$BN$18,MATCH(Summary!I$1,'RA2-Elevated Dumps Slopes'!$A$9:$BN$9,1),FALSE),0)+IFERROR(VLOOKUP($B18,'RA3-Backfilled Pits'!$A$11:$BN$18,MATCH(Summary!I$1,'RA3-Backfilled Pits'!$A$9:$BN$9,1),FALSE),0)+IFERROR(VLOOKUP($B18,'RA4-Tracks_Roads'!$A$11:$BN$18,MATCH(Summary!I$1,'RA4-Tracks_Roads'!$A$9:$BN$9,1),FALSE),0)+IFERROR(VLOOKUP($B18,'RA5-ROM'!$A$11:$BN$18,MATCH(Summary!I$1,'RA5-ROM'!$A$9:$BN$9,1),FALSE),0)+IFERROR(VLOOKUP($B18,'RA6-CHPP'!$A$11:$BN$18,MATCH(Summary!I$1,'RA6-CHPP'!$A$9:$BN$9,1),FALSE),0)+IFERROR(VLOOKUP($B18,'RA7-Mine Infrastructure Area'!$A$11:$BN$18,MATCH(Summary!I$1,'RA7-Mine Infrastructure Area'!$A$9:$BN$9,1),FALSE),0)+IFERROR(VLOOKUP($B18,'RA8-Water Management Structures'!$A$11:$BN$18,MATCH(Summary!I$1,'RA8-Water Management Structures'!$A$9:$BN$9,1),FALSE),0)+IFERROR(VLOOKUP($B18,'RA9-Codisposal Upper'!$A$11:$BN$18,MATCH(Summary!I$1,'RA9-Codisposal Upper'!$A$9:$BN$9,1),FALSE),0)+IFERROR(VLOOKUP($B18,'RA10-Codisposal Slopes'!$A$11:$BN$18,MATCH(Summary!I$1,'RA10-Codisposal Slopes'!$A$9:$BN$9,1),FALSE),0)+IFERROR(VLOOKUP($B18,'IA1-Final Void inc Ramps'!$A$11:$BN$18,MATCH(Summary!I$1,'IA1-Final Void inc Ramps'!$A$9:$BN$9,1),FALSE),0)</f>
        <v>0</v>
      </c>
      <c r="J18" s="51">
        <f>IFERROR(VLOOKUP($B18,'RA1- Elevated Dumps Upper'!$A$11:$BN$18,MATCH(Summary!J$1,'RA1- Elevated Dumps Upper'!$A$9:$BN$9,1),FALSE),0)+IFERROR(VLOOKUP($B18,'RA2-Elevated Dumps Slopes'!$A$11:$BN$18,MATCH(Summary!J$1,'RA2-Elevated Dumps Slopes'!$A$9:$BN$9,1),FALSE),0)+IFERROR(VLOOKUP($B18,'RA3-Backfilled Pits'!$A$11:$BN$18,MATCH(Summary!J$1,'RA3-Backfilled Pits'!$A$9:$BN$9,1),FALSE),0)+IFERROR(VLOOKUP($B18,'RA4-Tracks_Roads'!$A$11:$BN$18,MATCH(Summary!J$1,'RA4-Tracks_Roads'!$A$9:$BN$9,1),FALSE),0)+IFERROR(VLOOKUP($B18,'RA5-ROM'!$A$11:$BN$18,MATCH(Summary!J$1,'RA5-ROM'!$A$9:$BN$9,1),FALSE),0)+IFERROR(VLOOKUP($B18,'RA6-CHPP'!$A$11:$BN$18,MATCH(Summary!J$1,'RA6-CHPP'!$A$9:$BN$9,1),FALSE),0)+IFERROR(VLOOKUP($B18,'RA7-Mine Infrastructure Area'!$A$11:$BN$18,MATCH(Summary!J$1,'RA7-Mine Infrastructure Area'!$A$9:$BN$9,1),FALSE),0)+IFERROR(VLOOKUP($B18,'RA8-Water Management Structures'!$A$11:$BN$18,MATCH(Summary!J$1,'RA8-Water Management Structures'!$A$9:$BN$9,1),FALSE),0)+IFERROR(VLOOKUP($B18,'RA9-Codisposal Upper'!$A$11:$BN$18,MATCH(Summary!J$1,'RA9-Codisposal Upper'!$A$9:$BN$9,1),FALSE),0)+IFERROR(VLOOKUP($B18,'RA10-Codisposal Slopes'!$A$11:$BN$18,MATCH(Summary!J$1,'RA10-Codisposal Slopes'!$A$9:$BN$9,1),FALSE),0)+IFERROR(VLOOKUP($B18,'IA1-Final Void inc Ramps'!$A$11:$BN$18,MATCH(Summary!J$1,'IA1-Final Void inc Ramps'!$A$9:$BN$9,1),FALSE),0)</f>
        <v>0</v>
      </c>
      <c r="K18" s="51">
        <f>IFERROR(VLOOKUP($B18,'RA1- Elevated Dumps Upper'!$A$11:$BN$18,MATCH(Summary!K$1,'RA1- Elevated Dumps Upper'!$A$9:$BN$9,1),FALSE),0)+IFERROR(VLOOKUP($B18,'RA2-Elevated Dumps Slopes'!$A$11:$BN$18,MATCH(Summary!K$1,'RA2-Elevated Dumps Slopes'!$A$9:$BN$9,1),FALSE),0)+IFERROR(VLOOKUP($B18,'RA3-Backfilled Pits'!$A$11:$BN$18,MATCH(Summary!K$1,'RA3-Backfilled Pits'!$A$9:$BN$9,1),FALSE),0)+IFERROR(VLOOKUP($B18,'RA4-Tracks_Roads'!$A$11:$BN$18,MATCH(Summary!K$1,'RA4-Tracks_Roads'!$A$9:$BN$9,1),FALSE),0)+IFERROR(VLOOKUP($B18,'RA5-ROM'!$A$11:$BN$18,MATCH(Summary!K$1,'RA5-ROM'!$A$9:$BN$9,1),FALSE),0)+IFERROR(VLOOKUP($B18,'RA6-CHPP'!$A$11:$BN$18,MATCH(Summary!K$1,'RA6-CHPP'!$A$9:$BN$9,1),FALSE),0)+IFERROR(VLOOKUP($B18,'RA7-Mine Infrastructure Area'!$A$11:$BN$18,MATCH(Summary!K$1,'RA7-Mine Infrastructure Area'!$A$9:$BN$9,1),FALSE),0)+IFERROR(VLOOKUP($B18,'RA8-Water Management Structures'!$A$11:$BN$18,MATCH(Summary!K$1,'RA8-Water Management Structures'!$A$9:$BN$9,1),FALSE),0)+IFERROR(VLOOKUP($B18,'RA9-Codisposal Upper'!$A$11:$BN$18,MATCH(Summary!K$1,'RA9-Codisposal Upper'!$A$9:$BN$9,1),FALSE),0)+IFERROR(VLOOKUP($B18,'RA10-Codisposal Slopes'!$A$11:$BN$18,MATCH(Summary!K$1,'RA10-Codisposal Slopes'!$A$9:$BN$9,1),FALSE),0)+IFERROR(VLOOKUP($B18,'IA1-Final Void inc Ramps'!$A$11:$BN$18,MATCH(Summary!K$1,'IA1-Final Void inc Ramps'!$A$9:$BN$9,1),FALSE),0)</f>
        <v>33.869</v>
      </c>
      <c r="L18" s="51">
        <f>IFERROR(VLOOKUP($B18,'RA1- Elevated Dumps Upper'!$A$11:$BN$18,MATCH(Summary!L$1,'RA1- Elevated Dumps Upper'!$A$9:$BN$9,1),FALSE),0)+IFERROR(VLOOKUP($B18,'RA2-Elevated Dumps Slopes'!$A$11:$BN$18,MATCH(Summary!L$1,'RA2-Elevated Dumps Slopes'!$A$9:$BN$9,1),FALSE),0)+IFERROR(VLOOKUP($B18,'RA3-Backfilled Pits'!$A$11:$BN$18,MATCH(Summary!L$1,'RA3-Backfilled Pits'!$A$9:$BN$9,1),FALSE),0)+IFERROR(VLOOKUP($B18,'RA4-Tracks_Roads'!$A$11:$BN$18,MATCH(Summary!L$1,'RA4-Tracks_Roads'!$A$9:$BN$9,1),FALSE),0)+IFERROR(VLOOKUP($B18,'RA5-ROM'!$A$11:$BN$18,MATCH(Summary!L$1,'RA5-ROM'!$A$9:$BN$9,1),FALSE),0)+IFERROR(VLOOKUP($B18,'RA6-CHPP'!$A$11:$BN$18,MATCH(Summary!L$1,'RA6-CHPP'!$A$9:$BN$9,1),FALSE),0)+IFERROR(VLOOKUP($B18,'RA7-Mine Infrastructure Area'!$A$11:$BN$18,MATCH(Summary!L$1,'RA7-Mine Infrastructure Area'!$A$9:$BN$9,1),FALSE),0)+IFERROR(VLOOKUP($B18,'RA8-Water Management Structures'!$A$11:$BN$18,MATCH(Summary!L$1,'RA8-Water Management Structures'!$A$9:$BN$9,1),FALSE),0)+IFERROR(VLOOKUP($B18,'RA9-Codisposal Upper'!$A$11:$BN$18,MATCH(Summary!L$1,'RA9-Codisposal Upper'!$A$9:$BN$9,1),FALSE),0)+IFERROR(VLOOKUP($B18,'RA10-Codisposal Slopes'!$A$11:$BN$18,MATCH(Summary!L$1,'RA10-Codisposal Slopes'!$A$9:$BN$9,1),FALSE),0)+IFERROR(VLOOKUP($B18,'IA1-Final Void inc Ramps'!$A$11:$BN$18,MATCH(Summary!L$1,'IA1-Final Void inc Ramps'!$A$9:$BN$9,1),FALSE),0)</f>
        <v>78.697000000000003</v>
      </c>
      <c r="M18" s="51">
        <f>IFERROR(VLOOKUP($B18,'RA1- Elevated Dumps Upper'!$A$11:$BN$18,MATCH(Summary!M$1,'RA1- Elevated Dumps Upper'!$A$9:$BN$9,1),FALSE),0)+IFERROR(VLOOKUP($B18,'RA2-Elevated Dumps Slopes'!$A$11:$BN$18,MATCH(Summary!M$1,'RA2-Elevated Dumps Slopes'!$A$9:$BN$9,1),FALSE),0)+IFERROR(VLOOKUP($B18,'RA3-Backfilled Pits'!$A$11:$BN$18,MATCH(Summary!M$1,'RA3-Backfilled Pits'!$A$9:$BN$9,1),FALSE),0)+IFERROR(VLOOKUP($B18,'RA4-Tracks_Roads'!$A$11:$BN$18,MATCH(Summary!M$1,'RA4-Tracks_Roads'!$A$9:$BN$9,1),FALSE),0)+IFERROR(VLOOKUP($B18,'RA5-ROM'!$A$11:$BN$18,MATCH(Summary!M$1,'RA5-ROM'!$A$9:$BN$9,1),FALSE),0)+IFERROR(VLOOKUP($B18,'RA6-CHPP'!$A$11:$BN$18,MATCH(Summary!M$1,'RA6-CHPP'!$A$9:$BN$9,1),FALSE),0)+IFERROR(VLOOKUP($B18,'RA7-Mine Infrastructure Area'!$A$11:$BN$18,MATCH(Summary!M$1,'RA7-Mine Infrastructure Area'!$A$9:$BN$9,1),FALSE),0)+IFERROR(VLOOKUP($B18,'RA8-Water Management Structures'!$A$11:$BN$18,MATCH(Summary!M$1,'RA8-Water Management Structures'!$A$9:$BN$9,1),FALSE),0)+IFERROR(VLOOKUP($B18,'RA9-Codisposal Upper'!$A$11:$BN$18,MATCH(Summary!M$1,'RA9-Codisposal Upper'!$A$9:$BN$9,1),FALSE),0)+IFERROR(VLOOKUP($B18,'RA10-Codisposal Slopes'!$A$11:$BN$18,MATCH(Summary!M$1,'RA10-Codisposal Slopes'!$A$9:$BN$9,1),FALSE),0)+IFERROR(VLOOKUP($B18,'IA1-Final Void inc Ramps'!$A$11:$BN$18,MATCH(Summary!M$1,'IA1-Final Void inc Ramps'!$A$9:$BN$9,1),FALSE),0)</f>
        <v>129.40700000000001</v>
      </c>
      <c r="N18" s="51">
        <f>IFERROR(VLOOKUP($B18,'RA1- Elevated Dumps Upper'!$A$11:$BN$18,MATCH(Summary!N$1,'RA1- Elevated Dumps Upper'!$A$9:$BN$9,1),FALSE),0)+IFERROR(VLOOKUP($B18,'RA2-Elevated Dumps Slopes'!$A$11:$BN$18,MATCH(Summary!N$1,'RA2-Elevated Dumps Slopes'!$A$9:$BN$9,1),FALSE),0)+IFERROR(VLOOKUP($B18,'RA3-Backfilled Pits'!$A$11:$BN$18,MATCH(Summary!N$1,'RA3-Backfilled Pits'!$A$9:$BN$9,1),FALSE),0)+IFERROR(VLOOKUP($B18,'RA4-Tracks_Roads'!$A$11:$BN$18,MATCH(Summary!N$1,'RA4-Tracks_Roads'!$A$9:$BN$9,1),FALSE),0)+IFERROR(VLOOKUP($B18,'RA5-ROM'!$A$11:$BN$18,MATCH(Summary!N$1,'RA5-ROM'!$A$9:$BN$9,1),FALSE),0)+IFERROR(VLOOKUP($B18,'RA6-CHPP'!$A$11:$BN$18,MATCH(Summary!N$1,'RA6-CHPP'!$A$9:$BN$9,1),FALSE),0)+IFERROR(VLOOKUP($B18,'RA7-Mine Infrastructure Area'!$A$11:$BN$18,MATCH(Summary!N$1,'RA7-Mine Infrastructure Area'!$A$9:$BN$9,1),FALSE),0)+IFERROR(VLOOKUP($B18,'RA8-Water Management Structures'!$A$11:$BN$18,MATCH(Summary!N$1,'RA8-Water Management Structures'!$A$9:$BN$9,1),FALSE),0)+IFERROR(VLOOKUP($B18,'RA9-Codisposal Upper'!$A$11:$BN$18,MATCH(Summary!N$1,'RA9-Codisposal Upper'!$A$9:$BN$9,1),FALSE),0)+IFERROR(VLOOKUP($B18,'RA10-Codisposal Slopes'!$A$11:$BN$18,MATCH(Summary!N$1,'RA10-Codisposal Slopes'!$A$9:$BN$9,1),FALSE),0)+IFERROR(VLOOKUP($B18,'IA1-Final Void inc Ramps'!$A$11:$BN$18,MATCH(Summary!N$1,'IA1-Final Void inc Ramps'!$A$9:$BN$9,1),FALSE),0)</f>
        <v>241.43900000000002</v>
      </c>
      <c r="O18" s="51">
        <f>IFERROR(VLOOKUP($B18,'RA1- Elevated Dumps Upper'!$A$11:$BN$18,MATCH(Summary!O$1,'RA1- Elevated Dumps Upper'!$A$9:$BN$9,1),FALSE),0)+IFERROR(VLOOKUP($B18,'RA2-Elevated Dumps Slopes'!$A$11:$BN$18,MATCH(Summary!O$1,'RA2-Elevated Dumps Slopes'!$A$9:$BN$9,1),FALSE),0)+IFERROR(VLOOKUP($B18,'RA3-Backfilled Pits'!$A$11:$BN$18,MATCH(Summary!O$1,'RA3-Backfilled Pits'!$A$9:$BN$9,1),FALSE),0)+IFERROR(VLOOKUP($B18,'RA4-Tracks_Roads'!$A$11:$BN$18,MATCH(Summary!O$1,'RA4-Tracks_Roads'!$A$9:$BN$9,1),FALSE),0)+IFERROR(VLOOKUP($B18,'RA5-ROM'!$A$11:$BN$18,MATCH(Summary!O$1,'RA5-ROM'!$A$9:$BN$9,1),FALSE),0)+IFERROR(VLOOKUP($B18,'RA6-CHPP'!$A$11:$BN$18,MATCH(Summary!O$1,'RA6-CHPP'!$A$9:$BN$9,1),FALSE),0)+IFERROR(VLOOKUP($B18,'RA7-Mine Infrastructure Area'!$A$11:$BN$18,MATCH(Summary!O$1,'RA7-Mine Infrastructure Area'!$A$9:$BN$9,1),FALSE),0)+IFERROR(VLOOKUP($B18,'RA8-Water Management Structures'!$A$11:$BN$18,MATCH(Summary!O$1,'RA8-Water Management Structures'!$A$9:$BN$9,1),FALSE),0)+IFERROR(VLOOKUP($B18,'RA9-Codisposal Upper'!$A$11:$BN$18,MATCH(Summary!O$1,'RA9-Codisposal Upper'!$A$9:$BN$9,1),FALSE),0)+IFERROR(VLOOKUP($B18,'RA10-Codisposal Slopes'!$A$11:$BN$18,MATCH(Summary!O$1,'RA10-Codisposal Slopes'!$A$9:$BN$9,1),FALSE),0)+IFERROR(VLOOKUP($B18,'IA1-Final Void inc Ramps'!$A$11:$BN$18,MATCH(Summary!O$1,'IA1-Final Void inc Ramps'!$A$9:$BN$9,1),FALSE),0)</f>
        <v>433.27699999999999</v>
      </c>
      <c r="P18" s="51">
        <f>IFERROR(VLOOKUP($B18,'RA1- Elevated Dumps Upper'!$A$11:$BN$18,MATCH(Summary!P$1,'RA1- Elevated Dumps Upper'!$A$9:$BN$9,1),FALSE),0)+IFERROR(VLOOKUP($B18,'RA2-Elevated Dumps Slopes'!$A$11:$BN$18,MATCH(Summary!P$1,'RA2-Elevated Dumps Slopes'!$A$9:$BN$9,1),FALSE),0)+IFERROR(VLOOKUP($B18,'RA3-Backfilled Pits'!$A$11:$BN$18,MATCH(Summary!P$1,'RA3-Backfilled Pits'!$A$9:$BN$9,1),FALSE),0)+IFERROR(VLOOKUP($B18,'RA4-Tracks_Roads'!$A$11:$BN$18,MATCH(Summary!P$1,'RA4-Tracks_Roads'!$A$9:$BN$9,1),FALSE),0)+IFERROR(VLOOKUP($B18,'RA5-ROM'!$A$11:$BN$18,MATCH(Summary!P$1,'RA5-ROM'!$A$9:$BN$9,1),FALSE),0)+IFERROR(VLOOKUP($B18,'RA6-CHPP'!$A$11:$BN$18,MATCH(Summary!P$1,'RA6-CHPP'!$A$9:$BN$9,1),FALSE),0)+IFERROR(VLOOKUP($B18,'RA7-Mine Infrastructure Area'!$A$11:$BN$18,MATCH(Summary!P$1,'RA7-Mine Infrastructure Area'!$A$9:$BN$9,1),FALSE),0)+IFERROR(VLOOKUP($B18,'RA8-Water Management Structures'!$A$11:$BN$18,MATCH(Summary!P$1,'RA8-Water Management Structures'!$A$9:$BN$9,1),FALSE),0)+IFERROR(VLOOKUP($B18,'RA9-Codisposal Upper'!$A$11:$BN$18,MATCH(Summary!P$1,'RA9-Codisposal Upper'!$A$9:$BN$9,1),FALSE),0)+IFERROR(VLOOKUP($B18,'RA10-Codisposal Slopes'!$A$11:$BN$18,MATCH(Summary!P$1,'RA10-Codisposal Slopes'!$A$9:$BN$9,1),FALSE),0)+IFERROR(VLOOKUP($B18,'IA1-Final Void inc Ramps'!$A$11:$BN$18,MATCH(Summary!P$1,'IA1-Final Void inc Ramps'!$A$9:$BN$9,1),FALSE),0)</f>
        <v>509.03999999999996</v>
      </c>
      <c r="Q18" s="51">
        <f>IFERROR(VLOOKUP($B18,'RA1- Elevated Dumps Upper'!$A$11:$BN$18,MATCH(Summary!Q$1,'RA1- Elevated Dumps Upper'!$A$9:$BN$9,1),FALSE),0)+IFERROR(VLOOKUP($B18,'RA2-Elevated Dumps Slopes'!$A$11:$BN$18,MATCH(Summary!Q$1,'RA2-Elevated Dumps Slopes'!$A$9:$BN$9,1),FALSE),0)+IFERROR(VLOOKUP($B18,'RA3-Backfilled Pits'!$A$11:$BN$18,MATCH(Summary!Q$1,'RA3-Backfilled Pits'!$A$9:$BN$9,1),FALSE),0)+IFERROR(VLOOKUP($B18,'RA4-Tracks_Roads'!$A$11:$BN$18,MATCH(Summary!Q$1,'RA4-Tracks_Roads'!$A$9:$BN$9,1),FALSE),0)+IFERROR(VLOOKUP($B18,'RA5-ROM'!$A$11:$BN$18,MATCH(Summary!Q$1,'RA5-ROM'!$A$9:$BN$9,1),FALSE),0)+IFERROR(VLOOKUP($B18,'RA6-CHPP'!$A$11:$BN$18,MATCH(Summary!Q$1,'RA6-CHPP'!$A$9:$BN$9,1),FALSE),0)+IFERROR(VLOOKUP($B18,'RA7-Mine Infrastructure Area'!$A$11:$BN$18,MATCH(Summary!Q$1,'RA7-Mine Infrastructure Area'!$A$9:$BN$9,1),FALSE),0)+IFERROR(VLOOKUP($B18,'RA8-Water Management Structures'!$A$11:$BN$18,MATCH(Summary!Q$1,'RA8-Water Management Structures'!$A$9:$BN$9,1),FALSE),0)+IFERROR(VLOOKUP($B18,'RA9-Codisposal Upper'!$A$11:$BN$18,MATCH(Summary!Q$1,'RA9-Codisposal Upper'!$A$9:$BN$9,1),FALSE),0)+IFERROR(VLOOKUP($B18,'RA10-Codisposal Slopes'!$A$11:$BN$18,MATCH(Summary!Q$1,'RA10-Codisposal Slopes'!$A$9:$BN$9,1),FALSE),0)+IFERROR(VLOOKUP($B18,'IA1-Final Void inc Ramps'!$A$11:$BN$18,MATCH(Summary!Q$1,'IA1-Final Void inc Ramps'!$A$9:$BN$9,1),FALSE),0)</f>
        <v>543.51400000000001</v>
      </c>
      <c r="R18" s="51">
        <f>IFERROR(VLOOKUP($B18,'RA1- Elevated Dumps Upper'!$A$11:$BN$18,MATCH(Summary!R$1,'RA1- Elevated Dumps Upper'!$A$9:$BN$9,1),FALSE),0)+IFERROR(VLOOKUP($B18,'RA2-Elevated Dumps Slopes'!$A$11:$BN$18,MATCH(Summary!R$1,'RA2-Elevated Dumps Slopes'!$A$9:$BN$9,1),FALSE),0)+IFERROR(VLOOKUP($B18,'RA3-Backfilled Pits'!$A$11:$BN$18,MATCH(Summary!R$1,'RA3-Backfilled Pits'!$A$9:$BN$9,1),FALSE),0)+IFERROR(VLOOKUP($B18,'RA4-Tracks_Roads'!$A$11:$BN$18,MATCH(Summary!R$1,'RA4-Tracks_Roads'!$A$9:$BN$9,1),FALSE),0)+IFERROR(VLOOKUP($B18,'RA5-ROM'!$A$11:$BN$18,MATCH(Summary!R$1,'RA5-ROM'!$A$9:$BN$9,1),FALSE),0)+IFERROR(VLOOKUP($B18,'RA6-CHPP'!$A$11:$BN$18,MATCH(Summary!R$1,'RA6-CHPP'!$A$9:$BN$9,1),FALSE),0)+IFERROR(VLOOKUP($B18,'RA7-Mine Infrastructure Area'!$A$11:$BN$18,MATCH(Summary!R$1,'RA7-Mine Infrastructure Area'!$A$9:$BN$9,1),FALSE),0)+IFERROR(VLOOKUP($B18,'RA8-Water Management Structures'!$A$11:$BN$18,MATCH(Summary!R$1,'RA8-Water Management Structures'!$A$9:$BN$9,1),FALSE),0)+IFERROR(VLOOKUP($B18,'RA9-Codisposal Upper'!$A$11:$BN$18,MATCH(Summary!R$1,'RA9-Codisposal Upper'!$A$9:$BN$9,1),FALSE),0)+IFERROR(VLOOKUP($B18,'RA10-Codisposal Slopes'!$A$11:$BN$18,MATCH(Summary!R$1,'RA10-Codisposal Slopes'!$A$9:$BN$9,1),FALSE),0)+IFERROR(VLOOKUP($B18,'IA1-Final Void inc Ramps'!$A$11:$BN$18,MATCH(Summary!R$1,'IA1-Final Void inc Ramps'!$A$9:$BN$9,1),FALSE),0)</f>
        <v>601.03399999999999</v>
      </c>
      <c r="S18" s="51">
        <f>IFERROR(VLOOKUP($B18,'RA1- Elevated Dumps Upper'!$A$11:$BN$18,MATCH(Summary!S$1,'RA1- Elevated Dumps Upper'!$A$9:$BN$9,1),FALSE),0)+IFERROR(VLOOKUP($B18,'RA2-Elevated Dumps Slopes'!$A$11:$BN$18,MATCH(Summary!S$1,'RA2-Elevated Dumps Slopes'!$A$9:$BN$9,1),FALSE),0)+IFERROR(VLOOKUP($B18,'RA3-Backfilled Pits'!$A$11:$BN$18,MATCH(Summary!S$1,'RA3-Backfilled Pits'!$A$9:$BN$9,1),FALSE),0)+IFERROR(VLOOKUP($B18,'RA4-Tracks_Roads'!$A$11:$BN$18,MATCH(Summary!S$1,'RA4-Tracks_Roads'!$A$9:$BN$9,1),FALSE),0)+IFERROR(VLOOKUP($B18,'RA5-ROM'!$A$11:$BN$18,MATCH(Summary!S$1,'RA5-ROM'!$A$9:$BN$9,1),FALSE),0)+IFERROR(VLOOKUP($B18,'RA6-CHPP'!$A$11:$BN$18,MATCH(Summary!S$1,'RA6-CHPP'!$A$9:$BN$9,1),FALSE),0)+IFERROR(VLOOKUP($B18,'RA7-Mine Infrastructure Area'!$A$11:$BN$18,MATCH(Summary!S$1,'RA7-Mine Infrastructure Area'!$A$9:$BN$9,1),FALSE),0)+IFERROR(VLOOKUP($B18,'RA8-Water Management Structures'!$A$11:$BN$18,MATCH(Summary!S$1,'RA8-Water Management Structures'!$A$9:$BN$9,1),FALSE),0)+IFERROR(VLOOKUP($B18,'RA9-Codisposal Upper'!$A$11:$BN$18,MATCH(Summary!S$1,'RA9-Codisposal Upper'!$A$9:$BN$9,1),FALSE),0)+IFERROR(VLOOKUP($B18,'RA10-Codisposal Slopes'!$A$11:$BN$18,MATCH(Summary!S$1,'RA10-Codisposal Slopes'!$A$9:$BN$9,1),FALSE),0)+IFERROR(VLOOKUP($B18,'IA1-Final Void inc Ramps'!$A$11:$BN$18,MATCH(Summary!S$1,'IA1-Final Void inc Ramps'!$A$9:$BN$9,1),FALSE),0)</f>
        <v>657.9899999999999</v>
      </c>
      <c r="T18" s="51">
        <f>IFERROR(VLOOKUP($B18,'RA1- Elevated Dumps Upper'!$A$11:$BN$18,MATCH(Summary!T$1,'RA1- Elevated Dumps Upper'!$A$9:$BN$9,1),FALSE),0)+IFERROR(VLOOKUP($B18,'RA2-Elevated Dumps Slopes'!$A$11:$BN$18,MATCH(Summary!T$1,'RA2-Elevated Dumps Slopes'!$A$9:$BN$9,1),FALSE),0)+IFERROR(VLOOKUP($B18,'RA3-Backfilled Pits'!$A$11:$BN$18,MATCH(Summary!T$1,'RA3-Backfilled Pits'!$A$9:$BN$9,1),FALSE),0)+IFERROR(VLOOKUP($B18,'RA4-Tracks_Roads'!$A$11:$BN$18,MATCH(Summary!T$1,'RA4-Tracks_Roads'!$A$9:$BN$9,1),FALSE),0)+IFERROR(VLOOKUP($B18,'RA5-ROM'!$A$11:$BN$18,MATCH(Summary!T$1,'RA5-ROM'!$A$9:$BN$9,1),FALSE),0)+IFERROR(VLOOKUP($B18,'RA6-CHPP'!$A$11:$BN$18,MATCH(Summary!T$1,'RA6-CHPP'!$A$9:$BN$9,1),FALSE),0)+IFERROR(VLOOKUP($B18,'RA7-Mine Infrastructure Area'!$A$11:$BN$18,MATCH(Summary!T$1,'RA7-Mine Infrastructure Area'!$A$9:$BN$9,1),FALSE),0)+IFERROR(VLOOKUP($B18,'RA8-Water Management Structures'!$A$11:$BN$18,MATCH(Summary!T$1,'RA8-Water Management Structures'!$A$9:$BN$9,1),FALSE),0)+IFERROR(VLOOKUP($B18,'RA9-Codisposal Upper'!$A$11:$BN$18,MATCH(Summary!T$1,'RA9-Codisposal Upper'!$A$9:$BN$9,1),FALSE),0)+IFERROR(VLOOKUP($B18,'RA10-Codisposal Slopes'!$A$11:$BN$18,MATCH(Summary!T$1,'RA10-Codisposal Slopes'!$A$9:$BN$9,1),FALSE),0)+IFERROR(VLOOKUP($B18,'IA1-Final Void inc Ramps'!$A$11:$BN$18,MATCH(Summary!T$1,'IA1-Final Void inc Ramps'!$A$9:$BN$9,1),FALSE),0)</f>
        <v>680.76199999999994</v>
      </c>
      <c r="U18" s="51">
        <f>IFERROR(VLOOKUP($B18,'RA1- Elevated Dumps Upper'!$A$11:$BN$18,MATCH(Summary!U$1,'RA1- Elevated Dumps Upper'!$A$9:$BN$9,1),FALSE),0)+IFERROR(VLOOKUP($B18,'RA2-Elevated Dumps Slopes'!$A$11:$BN$18,MATCH(Summary!U$1,'RA2-Elevated Dumps Slopes'!$A$9:$BN$9,1),FALSE),0)+IFERROR(VLOOKUP($B18,'RA3-Backfilled Pits'!$A$11:$BN$18,MATCH(Summary!U$1,'RA3-Backfilled Pits'!$A$9:$BN$9,1),FALSE),0)+IFERROR(VLOOKUP($B18,'RA4-Tracks_Roads'!$A$11:$BN$18,MATCH(Summary!U$1,'RA4-Tracks_Roads'!$A$9:$BN$9,1),FALSE),0)+IFERROR(VLOOKUP($B18,'RA5-ROM'!$A$11:$BN$18,MATCH(Summary!U$1,'RA5-ROM'!$A$9:$BN$9,1),FALSE),0)+IFERROR(VLOOKUP($B18,'RA6-CHPP'!$A$11:$BN$18,MATCH(Summary!U$1,'RA6-CHPP'!$A$9:$BN$9,1),FALSE),0)+IFERROR(VLOOKUP($B18,'RA7-Mine Infrastructure Area'!$A$11:$BN$18,MATCH(Summary!U$1,'RA7-Mine Infrastructure Area'!$A$9:$BN$9,1),FALSE),0)+IFERROR(VLOOKUP($B18,'RA8-Water Management Structures'!$A$11:$BN$18,MATCH(Summary!U$1,'RA8-Water Management Structures'!$A$9:$BN$9,1),FALSE),0)+IFERROR(VLOOKUP($B18,'RA9-Codisposal Upper'!$A$11:$BN$18,MATCH(Summary!U$1,'RA9-Codisposal Upper'!$A$9:$BN$9,1),FALSE),0)+IFERROR(VLOOKUP($B18,'RA10-Codisposal Slopes'!$A$11:$BN$18,MATCH(Summary!U$1,'RA10-Codisposal Slopes'!$A$9:$BN$9,1),FALSE),0)+IFERROR(VLOOKUP($B18,'IA1-Final Void inc Ramps'!$A$11:$BN$18,MATCH(Summary!U$1,'IA1-Final Void inc Ramps'!$A$9:$BN$9,1),FALSE),0)</f>
        <v>701.06399999999985</v>
      </c>
      <c r="V18" s="51">
        <f>IFERROR(VLOOKUP($B18,'RA1- Elevated Dumps Upper'!$A$11:$BN$18,MATCH(Summary!V$1,'RA1- Elevated Dumps Upper'!$A$9:$BN$9,1),FALSE),0)+IFERROR(VLOOKUP($B18,'RA2-Elevated Dumps Slopes'!$A$11:$BN$18,MATCH(Summary!V$1,'RA2-Elevated Dumps Slopes'!$A$9:$BN$9,1),FALSE),0)+IFERROR(VLOOKUP($B18,'RA3-Backfilled Pits'!$A$11:$BN$18,MATCH(Summary!V$1,'RA3-Backfilled Pits'!$A$9:$BN$9,1),FALSE),0)+IFERROR(VLOOKUP($B18,'RA4-Tracks_Roads'!$A$11:$BN$18,MATCH(Summary!V$1,'RA4-Tracks_Roads'!$A$9:$BN$9,1),FALSE),0)+IFERROR(VLOOKUP($B18,'RA5-ROM'!$A$11:$BN$18,MATCH(Summary!V$1,'RA5-ROM'!$A$9:$BN$9,1),FALSE),0)+IFERROR(VLOOKUP($B18,'RA6-CHPP'!$A$11:$BN$18,MATCH(Summary!V$1,'RA6-CHPP'!$A$9:$BN$9,1),FALSE),0)+IFERROR(VLOOKUP($B18,'RA7-Mine Infrastructure Area'!$A$11:$BN$18,MATCH(Summary!V$1,'RA7-Mine Infrastructure Area'!$A$9:$BN$9,1),FALSE),0)+IFERROR(VLOOKUP($B18,'RA8-Water Management Structures'!$A$11:$BN$18,MATCH(Summary!V$1,'RA8-Water Management Structures'!$A$9:$BN$9,1),FALSE),0)+IFERROR(VLOOKUP($B18,'RA9-Codisposal Upper'!$A$11:$BN$18,MATCH(Summary!V$1,'RA9-Codisposal Upper'!$A$9:$BN$9,1),FALSE),0)+IFERROR(VLOOKUP($B18,'RA10-Codisposal Slopes'!$A$11:$BN$18,MATCH(Summary!V$1,'RA10-Codisposal Slopes'!$A$9:$BN$9,1),FALSE),0)+IFERROR(VLOOKUP($B18,'IA1-Final Void inc Ramps'!$A$11:$BN$18,MATCH(Summary!V$1,'IA1-Final Void inc Ramps'!$A$9:$BN$9,1),FALSE),0)</f>
        <v>701.06399999999985</v>
      </c>
      <c r="W18" s="51">
        <f>IFERROR(VLOOKUP($B18,'RA1- Elevated Dumps Upper'!$A$11:$BN$18,MATCH(Summary!W$1,'RA1- Elevated Dumps Upper'!$A$9:$BN$9,1),FALSE),0)+IFERROR(VLOOKUP($B18,'RA2-Elevated Dumps Slopes'!$A$11:$BN$18,MATCH(Summary!W$1,'RA2-Elevated Dumps Slopes'!$A$9:$BN$9,1),FALSE),0)+IFERROR(VLOOKUP($B18,'RA3-Backfilled Pits'!$A$11:$BN$18,MATCH(Summary!W$1,'RA3-Backfilled Pits'!$A$9:$BN$9,1),FALSE),0)+IFERROR(VLOOKUP($B18,'RA4-Tracks_Roads'!$A$11:$BN$18,MATCH(Summary!W$1,'RA4-Tracks_Roads'!$A$9:$BN$9,1),FALSE),0)+IFERROR(VLOOKUP($B18,'RA5-ROM'!$A$11:$BN$18,MATCH(Summary!W$1,'RA5-ROM'!$A$9:$BN$9,1),FALSE),0)+IFERROR(VLOOKUP($B18,'RA6-CHPP'!$A$11:$BN$18,MATCH(Summary!W$1,'RA6-CHPP'!$A$9:$BN$9,1),FALSE),0)+IFERROR(VLOOKUP($B18,'RA7-Mine Infrastructure Area'!$A$11:$BN$18,MATCH(Summary!W$1,'RA7-Mine Infrastructure Area'!$A$9:$BN$9,1),FALSE),0)+IFERROR(VLOOKUP($B18,'RA8-Water Management Structures'!$A$11:$BN$18,MATCH(Summary!W$1,'RA8-Water Management Structures'!$A$9:$BN$9,1),FALSE),0)+IFERROR(VLOOKUP($B18,'RA9-Codisposal Upper'!$A$11:$BN$18,MATCH(Summary!W$1,'RA9-Codisposal Upper'!$A$9:$BN$9,1),FALSE),0)+IFERROR(VLOOKUP($B18,'RA10-Codisposal Slopes'!$A$11:$BN$18,MATCH(Summary!W$1,'RA10-Codisposal Slopes'!$A$9:$BN$9,1),FALSE),0)+IFERROR(VLOOKUP($B18,'IA1-Final Void inc Ramps'!$A$11:$BN$18,MATCH(Summary!W$1,'IA1-Final Void inc Ramps'!$A$9:$BN$9,1),FALSE),0)</f>
        <v>725.3119999999999</v>
      </c>
      <c r="X18" s="51">
        <f>IFERROR(VLOOKUP($B18,'RA1- Elevated Dumps Upper'!$A$11:$BN$18,MATCH(Summary!X$1,'RA1- Elevated Dumps Upper'!$A$9:$BN$9,1),FALSE),0)+IFERROR(VLOOKUP($B18,'RA2-Elevated Dumps Slopes'!$A$11:$BN$18,MATCH(Summary!X$1,'RA2-Elevated Dumps Slopes'!$A$9:$BN$9,1),FALSE),0)+IFERROR(VLOOKUP($B18,'RA3-Backfilled Pits'!$A$11:$BN$18,MATCH(Summary!X$1,'RA3-Backfilled Pits'!$A$9:$BN$9,1),FALSE),0)+IFERROR(VLOOKUP($B18,'RA4-Tracks_Roads'!$A$11:$BN$18,MATCH(Summary!X$1,'RA4-Tracks_Roads'!$A$9:$BN$9,1),FALSE),0)+IFERROR(VLOOKUP($B18,'RA5-ROM'!$A$11:$BN$18,MATCH(Summary!X$1,'RA5-ROM'!$A$9:$BN$9,1),FALSE),0)+IFERROR(VLOOKUP($B18,'RA6-CHPP'!$A$11:$BN$18,MATCH(Summary!X$1,'RA6-CHPP'!$A$9:$BN$9,1),FALSE),0)+IFERROR(VLOOKUP($B18,'RA7-Mine Infrastructure Area'!$A$11:$BN$18,MATCH(Summary!X$1,'RA7-Mine Infrastructure Area'!$A$9:$BN$9,1),FALSE),0)+IFERROR(VLOOKUP($B18,'RA8-Water Management Structures'!$A$11:$BN$18,MATCH(Summary!X$1,'RA8-Water Management Structures'!$A$9:$BN$9,1),FALSE),0)+IFERROR(VLOOKUP($B18,'RA9-Codisposal Upper'!$A$11:$BN$18,MATCH(Summary!X$1,'RA9-Codisposal Upper'!$A$9:$BN$9,1),FALSE),0)+IFERROR(VLOOKUP($B18,'RA10-Codisposal Slopes'!$A$11:$BN$18,MATCH(Summary!X$1,'RA10-Codisposal Slopes'!$A$9:$BN$9,1),FALSE),0)+IFERROR(VLOOKUP($B18,'IA1-Final Void inc Ramps'!$A$11:$BN$18,MATCH(Summary!X$1,'IA1-Final Void inc Ramps'!$A$9:$BN$9,1),FALSE),0)</f>
        <v>759.93</v>
      </c>
      <c r="Y18" s="51">
        <f>IFERROR(VLOOKUP($B18,'RA1- Elevated Dumps Upper'!$A$11:$BN$18,MATCH(Summary!Y$1,'RA1- Elevated Dumps Upper'!$A$9:$BN$9,1),FALSE),0)+IFERROR(VLOOKUP($B18,'RA2-Elevated Dumps Slopes'!$A$11:$BN$18,MATCH(Summary!Y$1,'RA2-Elevated Dumps Slopes'!$A$9:$BN$9,1),FALSE),0)+IFERROR(VLOOKUP($B18,'RA3-Backfilled Pits'!$A$11:$BN$18,MATCH(Summary!Y$1,'RA3-Backfilled Pits'!$A$9:$BN$9,1),FALSE),0)+IFERROR(VLOOKUP($B18,'RA4-Tracks_Roads'!$A$11:$BN$18,MATCH(Summary!Y$1,'RA4-Tracks_Roads'!$A$9:$BN$9,1),FALSE),0)+IFERROR(VLOOKUP($B18,'RA5-ROM'!$A$11:$BN$18,MATCH(Summary!Y$1,'RA5-ROM'!$A$9:$BN$9,1),FALSE),0)+IFERROR(VLOOKUP($B18,'RA6-CHPP'!$A$11:$BN$18,MATCH(Summary!Y$1,'RA6-CHPP'!$A$9:$BN$9,1),FALSE),0)+IFERROR(VLOOKUP($B18,'RA7-Mine Infrastructure Area'!$A$11:$BN$18,MATCH(Summary!Y$1,'RA7-Mine Infrastructure Area'!$A$9:$BN$9,1),FALSE),0)+IFERROR(VLOOKUP($B18,'RA8-Water Management Structures'!$A$11:$BN$18,MATCH(Summary!Y$1,'RA8-Water Management Structures'!$A$9:$BN$9,1),FALSE),0)+IFERROR(VLOOKUP($B18,'RA9-Codisposal Upper'!$A$11:$BN$18,MATCH(Summary!Y$1,'RA9-Codisposal Upper'!$A$9:$BN$9,1),FALSE),0)+IFERROR(VLOOKUP($B18,'RA10-Codisposal Slopes'!$A$11:$BN$18,MATCH(Summary!Y$1,'RA10-Codisposal Slopes'!$A$9:$BN$9,1),FALSE),0)+IFERROR(VLOOKUP($B18,'IA1-Final Void inc Ramps'!$A$11:$BN$18,MATCH(Summary!Y$1,'IA1-Final Void inc Ramps'!$A$9:$BN$9,1),FALSE),0)</f>
        <v>825.22</v>
      </c>
      <c r="Z18" s="51">
        <f>IFERROR(VLOOKUP($B18,'RA1- Elevated Dumps Upper'!$A$11:$BN$18,MATCH(Summary!Z$1,'RA1- Elevated Dumps Upper'!$A$9:$BN$9,1),FALSE),0)+IFERROR(VLOOKUP($B18,'RA2-Elevated Dumps Slopes'!$A$11:$BN$18,MATCH(Summary!Z$1,'RA2-Elevated Dumps Slopes'!$A$9:$BN$9,1),FALSE),0)+IFERROR(VLOOKUP($B18,'RA3-Backfilled Pits'!$A$11:$BN$18,MATCH(Summary!Z$1,'RA3-Backfilled Pits'!$A$9:$BN$9,1),FALSE),0)+IFERROR(VLOOKUP($B18,'RA4-Tracks_Roads'!$A$11:$BN$18,MATCH(Summary!Z$1,'RA4-Tracks_Roads'!$A$9:$BN$9,1),FALSE),0)+IFERROR(VLOOKUP($B18,'RA5-ROM'!$A$11:$BN$18,MATCH(Summary!Z$1,'RA5-ROM'!$A$9:$BN$9,1),FALSE),0)+IFERROR(VLOOKUP($B18,'RA6-CHPP'!$A$11:$BN$18,MATCH(Summary!Z$1,'RA6-CHPP'!$A$9:$BN$9,1),FALSE),0)+IFERROR(VLOOKUP($B18,'RA7-Mine Infrastructure Area'!$A$11:$BN$18,MATCH(Summary!Z$1,'RA7-Mine Infrastructure Area'!$A$9:$BN$9,1),FALSE),0)+IFERROR(VLOOKUP($B18,'RA8-Water Management Structures'!$A$11:$BN$18,MATCH(Summary!Z$1,'RA8-Water Management Structures'!$A$9:$BN$9,1),FALSE),0)+IFERROR(VLOOKUP($B18,'RA9-Codisposal Upper'!$A$11:$BN$18,MATCH(Summary!Z$1,'RA9-Codisposal Upper'!$A$9:$BN$9,1),FALSE),0)+IFERROR(VLOOKUP($B18,'RA10-Codisposal Slopes'!$A$11:$BN$18,MATCH(Summary!Z$1,'RA10-Codisposal Slopes'!$A$9:$BN$9,1),FALSE),0)+IFERROR(VLOOKUP($B18,'IA1-Final Void inc Ramps'!$A$11:$BN$18,MATCH(Summary!Z$1,'IA1-Final Void inc Ramps'!$A$9:$BN$9,1),FALSE),0)</f>
        <v>860.49299999999994</v>
      </c>
      <c r="AA18" s="51">
        <f>IFERROR(VLOOKUP($B18,'RA1- Elevated Dumps Upper'!$A$11:$BN$18,MATCH(Summary!AA$1,'RA1- Elevated Dumps Upper'!$A$9:$BN$9,1),FALSE),0)+IFERROR(VLOOKUP($B18,'RA2-Elevated Dumps Slopes'!$A$11:$BN$18,MATCH(Summary!AA$1,'RA2-Elevated Dumps Slopes'!$A$9:$BN$9,1),FALSE),0)+IFERROR(VLOOKUP($B18,'RA3-Backfilled Pits'!$A$11:$BN$18,MATCH(Summary!AA$1,'RA3-Backfilled Pits'!$A$9:$BN$9,1),FALSE),0)+IFERROR(VLOOKUP($B18,'RA4-Tracks_Roads'!$A$11:$BN$18,MATCH(Summary!AA$1,'RA4-Tracks_Roads'!$A$9:$BN$9,1),FALSE),0)+IFERROR(VLOOKUP($B18,'RA5-ROM'!$A$11:$BN$18,MATCH(Summary!AA$1,'RA5-ROM'!$A$9:$BN$9,1),FALSE),0)+IFERROR(VLOOKUP($B18,'RA6-CHPP'!$A$11:$BN$18,MATCH(Summary!AA$1,'RA6-CHPP'!$A$9:$BN$9,1),FALSE),0)+IFERROR(VLOOKUP($B18,'RA7-Mine Infrastructure Area'!$A$11:$BN$18,MATCH(Summary!AA$1,'RA7-Mine Infrastructure Area'!$A$9:$BN$9,1),FALSE),0)+IFERROR(VLOOKUP($B18,'RA8-Water Management Structures'!$A$11:$BN$18,MATCH(Summary!AA$1,'RA8-Water Management Structures'!$A$9:$BN$9,1),FALSE),0)+IFERROR(VLOOKUP($B18,'RA9-Codisposal Upper'!$A$11:$BN$18,MATCH(Summary!AA$1,'RA9-Codisposal Upper'!$A$9:$BN$9,1),FALSE),0)+IFERROR(VLOOKUP($B18,'RA10-Codisposal Slopes'!$A$11:$BN$18,MATCH(Summary!AA$1,'RA10-Codisposal Slopes'!$A$9:$BN$9,1),FALSE),0)+IFERROR(VLOOKUP($B18,'IA1-Final Void inc Ramps'!$A$11:$BN$18,MATCH(Summary!AA$1,'IA1-Final Void inc Ramps'!$A$9:$BN$9,1),FALSE),0)</f>
        <v>860.49299999999994</v>
      </c>
      <c r="AB18" s="51">
        <f>IFERROR(VLOOKUP($B18,'RA1- Elevated Dumps Upper'!$A$11:$BN$18,MATCH(Summary!AB$1,'RA1- Elevated Dumps Upper'!$A$9:$BN$9,1),FALSE),0)+IFERROR(VLOOKUP($B18,'RA2-Elevated Dumps Slopes'!$A$11:$BN$18,MATCH(Summary!AB$1,'RA2-Elevated Dumps Slopes'!$A$9:$BN$9,1),FALSE),0)+IFERROR(VLOOKUP($B18,'RA3-Backfilled Pits'!$A$11:$BN$18,MATCH(Summary!AB$1,'RA3-Backfilled Pits'!$A$9:$BN$9,1),FALSE),0)+IFERROR(VLOOKUP($B18,'RA4-Tracks_Roads'!$A$11:$BN$18,MATCH(Summary!AB$1,'RA4-Tracks_Roads'!$A$9:$BN$9,1),FALSE),0)+IFERROR(VLOOKUP($B18,'RA5-ROM'!$A$11:$BN$18,MATCH(Summary!AB$1,'RA5-ROM'!$A$9:$BN$9,1),FALSE),0)+IFERROR(VLOOKUP($B18,'RA6-CHPP'!$A$11:$BN$18,MATCH(Summary!AB$1,'RA6-CHPP'!$A$9:$BN$9,1),FALSE),0)+IFERROR(VLOOKUP($B18,'RA7-Mine Infrastructure Area'!$A$11:$BN$18,MATCH(Summary!AB$1,'RA7-Mine Infrastructure Area'!$A$9:$BN$9,1),FALSE),0)+IFERROR(VLOOKUP($B18,'RA8-Water Management Structures'!$A$11:$BN$18,MATCH(Summary!AB$1,'RA8-Water Management Structures'!$A$9:$BN$9,1),FALSE),0)+IFERROR(VLOOKUP($B18,'RA9-Codisposal Upper'!$A$11:$BN$18,MATCH(Summary!AB$1,'RA9-Codisposal Upper'!$A$9:$BN$9,1),FALSE),0)+IFERROR(VLOOKUP($B18,'RA10-Codisposal Slopes'!$A$11:$BN$18,MATCH(Summary!AB$1,'RA10-Codisposal Slopes'!$A$9:$BN$9,1),FALSE),0)+IFERROR(VLOOKUP($B18,'IA1-Final Void inc Ramps'!$A$11:$BN$18,MATCH(Summary!AB$1,'IA1-Final Void inc Ramps'!$A$9:$BN$9,1),FALSE),0)</f>
        <v>860.49299999999994</v>
      </c>
      <c r="AC18" s="51">
        <f>IFERROR(VLOOKUP($B18,'RA1- Elevated Dumps Upper'!$A$11:$BN$18,MATCH(Summary!AC$1,'RA1- Elevated Dumps Upper'!$A$9:$BN$9,1),FALSE),0)+IFERROR(VLOOKUP($B18,'RA2-Elevated Dumps Slopes'!$A$11:$BN$18,MATCH(Summary!AC$1,'RA2-Elevated Dumps Slopes'!$A$9:$BN$9,1),FALSE),0)+IFERROR(VLOOKUP($B18,'RA3-Backfilled Pits'!$A$11:$BN$18,MATCH(Summary!AC$1,'RA3-Backfilled Pits'!$A$9:$BN$9,1),FALSE),0)+IFERROR(VLOOKUP($B18,'RA4-Tracks_Roads'!$A$11:$BN$18,MATCH(Summary!AC$1,'RA4-Tracks_Roads'!$A$9:$BN$9,1),FALSE),0)+IFERROR(VLOOKUP($B18,'RA5-ROM'!$A$11:$BN$18,MATCH(Summary!AC$1,'RA5-ROM'!$A$9:$BN$9,1),FALSE),0)+IFERROR(VLOOKUP($B18,'RA6-CHPP'!$A$11:$BN$18,MATCH(Summary!AC$1,'RA6-CHPP'!$A$9:$BN$9,1),FALSE),0)+IFERROR(VLOOKUP($B18,'RA7-Mine Infrastructure Area'!$A$11:$BN$18,MATCH(Summary!AC$1,'RA7-Mine Infrastructure Area'!$A$9:$BN$9,1),FALSE),0)+IFERROR(VLOOKUP($B18,'RA8-Water Management Structures'!$A$11:$BN$18,MATCH(Summary!AC$1,'RA8-Water Management Structures'!$A$9:$BN$9,1),FALSE),0)+IFERROR(VLOOKUP($B18,'RA9-Codisposal Upper'!$A$11:$BN$18,MATCH(Summary!AC$1,'RA9-Codisposal Upper'!$A$9:$BN$9,1),FALSE),0)+IFERROR(VLOOKUP($B18,'RA10-Codisposal Slopes'!$A$11:$BN$18,MATCH(Summary!AC$1,'RA10-Codisposal Slopes'!$A$9:$BN$9,1),FALSE),0)+IFERROR(VLOOKUP($B18,'IA1-Final Void inc Ramps'!$A$11:$BN$18,MATCH(Summary!AC$1,'IA1-Final Void inc Ramps'!$A$9:$BN$9,1),FALSE),0)</f>
        <v>895.03099999999995</v>
      </c>
      <c r="AD18" s="51">
        <f>IFERROR(VLOOKUP($B18,'RA1- Elevated Dumps Upper'!$A$11:$BN$18,MATCH(Summary!AD$1,'RA1- Elevated Dumps Upper'!$A$9:$BN$9,1),FALSE),0)+IFERROR(VLOOKUP($B18,'RA2-Elevated Dumps Slopes'!$A$11:$BN$18,MATCH(Summary!AD$1,'RA2-Elevated Dumps Slopes'!$A$9:$BN$9,1),FALSE),0)+IFERROR(VLOOKUP($B18,'RA3-Backfilled Pits'!$A$11:$BN$18,MATCH(Summary!AD$1,'RA3-Backfilled Pits'!$A$9:$BN$9,1),FALSE),0)+IFERROR(VLOOKUP($B18,'RA4-Tracks_Roads'!$A$11:$BN$18,MATCH(Summary!AD$1,'RA4-Tracks_Roads'!$A$9:$BN$9,1),FALSE),0)+IFERROR(VLOOKUP($B18,'RA5-ROM'!$A$11:$BN$18,MATCH(Summary!AD$1,'RA5-ROM'!$A$9:$BN$9,1),FALSE),0)+IFERROR(VLOOKUP($B18,'RA6-CHPP'!$A$11:$BN$18,MATCH(Summary!AD$1,'RA6-CHPP'!$A$9:$BN$9,1),FALSE),0)+IFERROR(VLOOKUP($B18,'RA7-Mine Infrastructure Area'!$A$11:$BN$18,MATCH(Summary!AD$1,'RA7-Mine Infrastructure Area'!$A$9:$BN$9,1),FALSE),0)+IFERROR(VLOOKUP($B18,'RA8-Water Management Structures'!$A$11:$BN$18,MATCH(Summary!AD$1,'RA8-Water Management Structures'!$A$9:$BN$9,1),FALSE),0)+IFERROR(VLOOKUP($B18,'RA9-Codisposal Upper'!$A$11:$BN$18,MATCH(Summary!AD$1,'RA9-Codisposal Upper'!$A$9:$BN$9,1),FALSE),0)+IFERROR(VLOOKUP($B18,'RA10-Codisposal Slopes'!$A$11:$BN$18,MATCH(Summary!AD$1,'RA10-Codisposal Slopes'!$A$9:$BN$9,1),FALSE),0)+IFERROR(VLOOKUP($B18,'IA1-Final Void inc Ramps'!$A$11:$BN$18,MATCH(Summary!AD$1,'IA1-Final Void inc Ramps'!$A$9:$BN$9,1),FALSE),0)</f>
        <v>895.03099999999995</v>
      </c>
      <c r="AE18" s="51">
        <f>IFERROR(VLOOKUP($B18,'RA1- Elevated Dumps Upper'!$A$11:$BN$18,MATCH(Summary!AE$1,'RA1- Elevated Dumps Upper'!$A$9:$BN$9,1),FALSE),0)+IFERROR(VLOOKUP($B18,'RA2-Elevated Dumps Slopes'!$A$11:$BN$18,MATCH(Summary!AE$1,'RA2-Elevated Dumps Slopes'!$A$9:$BN$9,1),FALSE),0)+IFERROR(VLOOKUP($B18,'RA3-Backfilled Pits'!$A$11:$BN$18,MATCH(Summary!AE$1,'RA3-Backfilled Pits'!$A$9:$BN$9,1),FALSE),0)+IFERROR(VLOOKUP($B18,'RA4-Tracks_Roads'!$A$11:$BN$18,MATCH(Summary!AE$1,'RA4-Tracks_Roads'!$A$9:$BN$9,1),FALSE),0)+IFERROR(VLOOKUP($B18,'RA5-ROM'!$A$11:$BN$18,MATCH(Summary!AE$1,'RA5-ROM'!$A$9:$BN$9,1),FALSE),0)+IFERROR(VLOOKUP($B18,'RA6-CHPP'!$A$11:$BN$18,MATCH(Summary!AE$1,'RA6-CHPP'!$A$9:$BN$9,1),FALSE),0)+IFERROR(VLOOKUP($B18,'RA7-Mine Infrastructure Area'!$A$11:$BN$18,MATCH(Summary!AE$1,'RA7-Mine Infrastructure Area'!$A$9:$BN$9,1),FALSE),0)+IFERROR(VLOOKUP($B18,'RA8-Water Management Structures'!$A$11:$BN$18,MATCH(Summary!AE$1,'RA8-Water Management Structures'!$A$9:$BN$9,1),FALSE),0)+IFERROR(VLOOKUP($B18,'RA9-Codisposal Upper'!$A$11:$BN$18,MATCH(Summary!AE$1,'RA9-Codisposal Upper'!$A$9:$BN$9,1),FALSE),0)+IFERROR(VLOOKUP($B18,'RA10-Codisposal Slopes'!$A$11:$BN$18,MATCH(Summary!AE$1,'RA10-Codisposal Slopes'!$A$9:$BN$9,1),FALSE),0)+IFERROR(VLOOKUP($B18,'IA1-Final Void inc Ramps'!$A$11:$BN$18,MATCH(Summary!AE$1,'IA1-Final Void inc Ramps'!$A$9:$BN$9,1),FALSE),0)</f>
        <v>895.03099999999995</v>
      </c>
      <c r="AF18" s="51">
        <f>IFERROR(VLOOKUP($B18,'RA1- Elevated Dumps Upper'!$A$11:$BN$18,MATCH(Summary!AF$1,'RA1- Elevated Dumps Upper'!$A$9:$BN$9,1),FALSE),0)+IFERROR(VLOOKUP($B18,'RA2-Elevated Dumps Slopes'!$A$11:$BN$18,MATCH(Summary!AF$1,'RA2-Elevated Dumps Slopes'!$A$9:$BN$9,1),FALSE),0)+IFERROR(VLOOKUP($B18,'RA3-Backfilled Pits'!$A$11:$BN$18,MATCH(Summary!AF$1,'RA3-Backfilled Pits'!$A$9:$BN$9,1),FALSE),0)+IFERROR(VLOOKUP($B18,'RA4-Tracks_Roads'!$A$11:$BN$18,MATCH(Summary!AF$1,'RA4-Tracks_Roads'!$A$9:$BN$9,1),FALSE),0)+IFERROR(VLOOKUP($B18,'RA5-ROM'!$A$11:$BN$18,MATCH(Summary!AF$1,'RA5-ROM'!$A$9:$BN$9,1),FALSE),0)+IFERROR(VLOOKUP($B18,'RA6-CHPP'!$A$11:$BN$18,MATCH(Summary!AF$1,'RA6-CHPP'!$A$9:$BN$9,1),FALSE),0)+IFERROR(VLOOKUP($B18,'RA7-Mine Infrastructure Area'!$A$11:$BN$18,MATCH(Summary!AF$1,'RA7-Mine Infrastructure Area'!$A$9:$BN$9,1),FALSE),0)+IFERROR(VLOOKUP($B18,'RA8-Water Management Structures'!$A$11:$BN$18,MATCH(Summary!AF$1,'RA8-Water Management Structures'!$A$9:$BN$9,1),FALSE),0)+IFERROR(VLOOKUP($B18,'RA9-Codisposal Upper'!$A$11:$BN$18,MATCH(Summary!AF$1,'RA9-Codisposal Upper'!$A$9:$BN$9,1),FALSE),0)+IFERROR(VLOOKUP($B18,'RA10-Codisposal Slopes'!$A$11:$BN$18,MATCH(Summary!AF$1,'RA10-Codisposal Slopes'!$A$9:$BN$9,1),FALSE),0)+IFERROR(VLOOKUP($B18,'IA1-Final Void inc Ramps'!$A$11:$BN$18,MATCH(Summary!AF$1,'IA1-Final Void inc Ramps'!$A$9:$BN$9,1),FALSE),0)</f>
        <v>1180.752</v>
      </c>
      <c r="AG18" s="51">
        <f>IFERROR(VLOOKUP($B18,'RA1- Elevated Dumps Upper'!$A$11:$BN$18,MATCH(Summary!AG$1,'RA1- Elevated Dumps Upper'!$A$9:$BN$9,1),FALSE),0)+IFERROR(VLOOKUP($B18,'RA2-Elevated Dumps Slopes'!$A$11:$BN$18,MATCH(Summary!AG$1,'RA2-Elevated Dumps Slopes'!$A$9:$BN$9,1),FALSE),0)+IFERROR(VLOOKUP($B18,'RA3-Backfilled Pits'!$A$11:$BN$18,MATCH(Summary!AG$1,'RA3-Backfilled Pits'!$A$9:$BN$9,1),FALSE),0)+IFERROR(VLOOKUP($B18,'RA4-Tracks_Roads'!$A$11:$BN$18,MATCH(Summary!AG$1,'RA4-Tracks_Roads'!$A$9:$BN$9,1),FALSE),0)+IFERROR(VLOOKUP($B18,'RA5-ROM'!$A$11:$BN$18,MATCH(Summary!AG$1,'RA5-ROM'!$A$9:$BN$9,1),FALSE),0)+IFERROR(VLOOKUP($B18,'RA6-CHPP'!$A$11:$BN$18,MATCH(Summary!AG$1,'RA6-CHPP'!$A$9:$BN$9,1),FALSE),0)+IFERROR(VLOOKUP($B18,'RA7-Mine Infrastructure Area'!$A$11:$BN$18,MATCH(Summary!AG$1,'RA7-Mine Infrastructure Area'!$A$9:$BN$9,1),FALSE),0)+IFERROR(VLOOKUP($B18,'RA8-Water Management Structures'!$A$11:$BN$18,MATCH(Summary!AG$1,'RA8-Water Management Structures'!$A$9:$BN$9,1),FALSE),0)+IFERROR(VLOOKUP($B18,'RA9-Codisposal Upper'!$A$11:$BN$18,MATCH(Summary!AG$1,'RA9-Codisposal Upper'!$A$9:$BN$9,1),FALSE),0)+IFERROR(VLOOKUP($B18,'RA10-Codisposal Slopes'!$A$11:$BN$18,MATCH(Summary!AG$1,'RA10-Codisposal Slopes'!$A$9:$BN$9,1),FALSE),0)+IFERROR(VLOOKUP($B18,'IA1-Final Void inc Ramps'!$A$11:$BN$18,MATCH(Summary!AG$1,'IA1-Final Void inc Ramps'!$A$9:$BN$9,1),FALSE),0)</f>
        <v>1213.4450000000002</v>
      </c>
      <c r="AH18" s="51">
        <f>IFERROR(VLOOKUP($B18,'RA1- Elevated Dumps Upper'!$A$11:$BN$18,MATCH(Summary!AH$1,'RA1- Elevated Dumps Upper'!$A$9:$BN$9,1),FALSE),0)+IFERROR(VLOOKUP($B18,'RA2-Elevated Dumps Slopes'!$A$11:$BN$18,MATCH(Summary!AH$1,'RA2-Elevated Dumps Slopes'!$A$9:$BN$9,1),FALSE),0)+IFERROR(VLOOKUP($B18,'RA3-Backfilled Pits'!$A$11:$BN$18,MATCH(Summary!AH$1,'RA3-Backfilled Pits'!$A$9:$BN$9,1),FALSE),0)+IFERROR(VLOOKUP($B18,'RA4-Tracks_Roads'!$A$11:$BN$18,MATCH(Summary!AH$1,'RA4-Tracks_Roads'!$A$9:$BN$9,1),FALSE),0)+IFERROR(VLOOKUP($B18,'RA5-ROM'!$A$11:$BN$18,MATCH(Summary!AH$1,'RA5-ROM'!$A$9:$BN$9,1),FALSE),0)+IFERROR(VLOOKUP($B18,'RA6-CHPP'!$A$11:$BN$18,MATCH(Summary!AH$1,'RA6-CHPP'!$A$9:$BN$9,1),FALSE),0)+IFERROR(VLOOKUP($B18,'RA7-Mine Infrastructure Area'!$A$11:$BN$18,MATCH(Summary!AH$1,'RA7-Mine Infrastructure Area'!$A$9:$BN$9,1),FALSE),0)+IFERROR(VLOOKUP($B18,'RA8-Water Management Structures'!$A$11:$BN$18,MATCH(Summary!AH$1,'RA8-Water Management Structures'!$A$9:$BN$9,1),FALSE),0)+IFERROR(VLOOKUP($B18,'RA9-Codisposal Upper'!$A$11:$BN$18,MATCH(Summary!AH$1,'RA9-Codisposal Upper'!$A$9:$BN$9,1),FALSE),0)+IFERROR(VLOOKUP($B18,'RA10-Codisposal Slopes'!$A$11:$BN$18,MATCH(Summary!AH$1,'RA10-Codisposal Slopes'!$A$9:$BN$9,1),FALSE),0)+IFERROR(VLOOKUP($B18,'IA1-Final Void inc Ramps'!$A$11:$BN$18,MATCH(Summary!AH$1,'IA1-Final Void inc Ramps'!$A$9:$BN$9,1),FALSE),0)</f>
        <v>1331.3100000000002</v>
      </c>
      <c r="AI18" s="51">
        <f>IFERROR(VLOOKUP($B18,'RA1- Elevated Dumps Upper'!$A$11:$BN$18,MATCH(Summary!AI$1,'RA1- Elevated Dumps Upper'!$A$9:$BN$9,1),FALSE),0)+IFERROR(VLOOKUP($B18,'RA2-Elevated Dumps Slopes'!$A$11:$BN$18,MATCH(Summary!AI$1,'RA2-Elevated Dumps Slopes'!$A$9:$BN$9,1),FALSE),0)+IFERROR(VLOOKUP($B18,'RA3-Backfilled Pits'!$A$11:$BN$18,MATCH(Summary!AI$1,'RA3-Backfilled Pits'!$A$9:$BN$9,1),FALSE),0)+IFERROR(VLOOKUP($B18,'RA4-Tracks_Roads'!$A$11:$BN$18,MATCH(Summary!AI$1,'RA4-Tracks_Roads'!$A$9:$BN$9,1),FALSE),0)+IFERROR(VLOOKUP($B18,'RA5-ROM'!$A$11:$BN$18,MATCH(Summary!AI$1,'RA5-ROM'!$A$9:$BN$9,1),FALSE),0)+IFERROR(VLOOKUP($B18,'RA6-CHPP'!$A$11:$BN$18,MATCH(Summary!AI$1,'RA6-CHPP'!$A$9:$BN$9,1),FALSE),0)+IFERROR(VLOOKUP($B18,'RA7-Mine Infrastructure Area'!$A$11:$BN$18,MATCH(Summary!AI$1,'RA7-Mine Infrastructure Area'!$A$9:$BN$9,1),FALSE),0)+IFERROR(VLOOKUP($B18,'RA8-Water Management Structures'!$A$11:$BN$18,MATCH(Summary!AI$1,'RA8-Water Management Structures'!$A$9:$BN$9,1),FALSE),0)+IFERROR(VLOOKUP($B18,'RA9-Codisposal Upper'!$A$11:$BN$18,MATCH(Summary!AI$1,'RA9-Codisposal Upper'!$A$9:$BN$9,1),FALSE),0)+IFERROR(VLOOKUP($B18,'RA10-Codisposal Slopes'!$A$11:$BN$18,MATCH(Summary!AI$1,'RA10-Codisposal Slopes'!$A$9:$BN$9,1),FALSE),0)+IFERROR(VLOOKUP($B18,'IA1-Final Void inc Ramps'!$A$11:$BN$18,MATCH(Summary!AI$1,'IA1-Final Void inc Ramps'!$A$9:$BN$9,1),FALSE),0)</f>
        <v>1331.3100000000002</v>
      </c>
      <c r="AJ18" s="51">
        <f>IFERROR(VLOOKUP($B18,'RA1- Elevated Dumps Upper'!$A$11:$BN$18,MATCH(Summary!AJ$1,'RA1- Elevated Dumps Upper'!$A$9:$BN$9,1),FALSE),0)+IFERROR(VLOOKUP($B18,'RA2-Elevated Dumps Slopes'!$A$11:$BN$18,MATCH(Summary!AJ$1,'RA2-Elevated Dumps Slopes'!$A$9:$BN$9,1),FALSE),0)+IFERROR(VLOOKUP($B18,'RA3-Backfilled Pits'!$A$11:$BN$18,MATCH(Summary!AJ$1,'RA3-Backfilled Pits'!$A$9:$BN$9,1),FALSE),0)+IFERROR(VLOOKUP($B18,'RA4-Tracks_Roads'!$A$11:$BN$18,MATCH(Summary!AJ$1,'RA4-Tracks_Roads'!$A$9:$BN$9,1),FALSE),0)+IFERROR(VLOOKUP($B18,'RA5-ROM'!$A$11:$BN$18,MATCH(Summary!AJ$1,'RA5-ROM'!$A$9:$BN$9,1),FALSE),0)+IFERROR(VLOOKUP($B18,'RA6-CHPP'!$A$11:$BN$18,MATCH(Summary!AJ$1,'RA6-CHPP'!$A$9:$BN$9,1),FALSE),0)+IFERROR(VLOOKUP($B18,'RA7-Mine Infrastructure Area'!$A$11:$BN$18,MATCH(Summary!AJ$1,'RA7-Mine Infrastructure Area'!$A$9:$BN$9,1),FALSE),0)+IFERROR(VLOOKUP($B18,'RA8-Water Management Structures'!$A$11:$BN$18,MATCH(Summary!AJ$1,'RA8-Water Management Structures'!$A$9:$BN$9,1),FALSE),0)+IFERROR(VLOOKUP($B18,'RA9-Codisposal Upper'!$A$11:$BN$18,MATCH(Summary!AJ$1,'RA9-Codisposal Upper'!$A$9:$BN$9,1),FALSE),0)+IFERROR(VLOOKUP($B18,'RA10-Codisposal Slopes'!$A$11:$BN$18,MATCH(Summary!AJ$1,'RA10-Codisposal Slopes'!$A$9:$BN$9,1),FALSE),0)+IFERROR(VLOOKUP($B18,'IA1-Final Void inc Ramps'!$A$11:$BN$18,MATCH(Summary!AJ$1,'IA1-Final Void inc Ramps'!$A$9:$BN$9,1),FALSE),0)</f>
        <v>1331.3100000000002</v>
      </c>
      <c r="AK18" s="51">
        <f>IFERROR(VLOOKUP($B18,'RA1- Elevated Dumps Upper'!$A$11:$BN$18,MATCH(Summary!AK$1,'RA1- Elevated Dumps Upper'!$A$9:$BN$9,1),FALSE),0)+IFERROR(VLOOKUP($B18,'RA2-Elevated Dumps Slopes'!$A$11:$BN$18,MATCH(Summary!AK$1,'RA2-Elevated Dumps Slopes'!$A$9:$BN$9,1),FALSE),0)+IFERROR(VLOOKUP($B18,'RA3-Backfilled Pits'!$A$11:$BN$18,MATCH(Summary!AK$1,'RA3-Backfilled Pits'!$A$9:$BN$9,1),FALSE),0)+IFERROR(VLOOKUP($B18,'RA4-Tracks_Roads'!$A$11:$BN$18,MATCH(Summary!AK$1,'RA4-Tracks_Roads'!$A$9:$BN$9,1),FALSE),0)+IFERROR(VLOOKUP($B18,'RA5-ROM'!$A$11:$BN$18,MATCH(Summary!AK$1,'RA5-ROM'!$A$9:$BN$9,1),FALSE),0)+IFERROR(VLOOKUP($B18,'RA6-CHPP'!$A$11:$BN$18,MATCH(Summary!AK$1,'RA6-CHPP'!$A$9:$BN$9,1),FALSE),0)+IFERROR(VLOOKUP($B18,'RA7-Mine Infrastructure Area'!$A$11:$BN$18,MATCH(Summary!AK$1,'RA7-Mine Infrastructure Area'!$A$9:$BN$9,1),FALSE),0)+IFERROR(VLOOKUP($B18,'RA8-Water Management Structures'!$A$11:$BN$18,MATCH(Summary!AK$1,'RA8-Water Management Structures'!$A$9:$BN$9,1),FALSE),0)+IFERROR(VLOOKUP($B18,'RA9-Codisposal Upper'!$A$11:$BN$18,MATCH(Summary!AK$1,'RA9-Codisposal Upper'!$A$9:$BN$9,1),FALSE),0)+IFERROR(VLOOKUP($B18,'RA10-Codisposal Slopes'!$A$11:$BN$18,MATCH(Summary!AK$1,'RA10-Codisposal Slopes'!$A$9:$BN$9,1),FALSE),0)+IFERROR(VLOOKUP($B18,'IA1-Final Void inc Ramps'!$A$11:$BN$18,MATCH(Summary!AK$1,'IA1-Final Void inc Ramps'!$A$9:$BN$9,1),FALSE),0)</f>
        <v>1331.3100000000002</v>
      </c>
      <c r="AL18" s="51">
        <f>IFERROR(VLOOKUP($B18,'RA1- Elevated Dumps Upper'!$A$11:$BN$18,MATCH(Summary!AL$1,'RA1- Elevated Dumps Upper'!$A$9:$BN$9,1),FALSE),0)+IFERROR(VLOOKUP($B18,'RA2-Elevated Dumps Slopes'!$A$11:$BN$18,MATCH(Summary!AL$1,'RA2-Elevated Dumps Slopes'!$A$9:$BN$9,1),FALSE),0)+IFERROR(VLOOKUP($B18,'RA3-Backfilled Pits'!$A$11:$BN$18,MATCH(Summary!AL$1,'RA3-Backfilled Pits'!$A$9:$BN$9,1),FALSE),0)+IFERROR(VLOOKUP($B18,'RA4-Tracks_Roads'!$A$11:$BN$18,MATCH(Summary!AL$1,'RA4-Tracks_Roads'!$A$9:$BN$9,1),FALSE),0)+IFERROR(VLOOKUP($B18,'RA5-ROM'!$A$11:$BN$18,MATCH(Summary!AL$1,'RA5-ROM'!$A$9:$BN$9,1),FALSE),0)+IFERROR(VLOOKUP($B18,'RA6-CHPP'!$A$11:$BN$18,MATCH(Summary!AL$1,'RA6-CHPP'!$A$9:$BN$9,1),FALSE),0)+IFERROR(VLOOKUP($B18,'RA7-Mine Infrastructure Area'!$A$11:$BN$18,MATCH(Summary!AL$1,'RA7-Mine Infrastructure Area'!$A$9:$BN$9,1),FALSE),0)+IFERROR(VLOOKUP($B18,'RA8-Water Management Structures'!$A$11:$BN$18,MATCH(Summary!AL$1,'RA8-Water Management Structures'!$A$9:$BN$9,1),FALSE),0)+IFERROR(VLOOKUP($B18,'RA9-Codisposal Upper'!$A$11:$BN$18,MATCH(Summary!AL$1,'RA9-Codisposal Upper'!$A$9:$BN$9,1),FALSE),0)+IFERROR(VLOOKUP($B18,'RA10-Codisposal Slopes'!$A$11:$BN$18,MATCH(Summary!AL$1,'RA10-Codisposal Slopes'!$A$9:$BN$9,1),FALSE),0)+IFERROR(VLOOKUP($B18,'IA1-Final Void inc Ramps'!$A$11:$BN$18,MATCH(Summary!AL$1,'IA1-Final Void inc Ramps'!$A$9:$BN$9,1),FALSE),0)</f>
        <v>1331.3100000000002</v>
      </c>
      <c r="AM18" s="51">
        <f>IFERROR(VLOOKUP($B18,'RA1- Elevated Dumps Upper'!$A$11:$BN$18,MATCH(Summary!AM$1,'RA1- Elevated Dumps Upper'!$A$9:$BN$9,1),FALSE),0)+IFERROR(VLOOKUP($B18,'RA2-Elevated Dumps Slopes'!$A$11:$BN$18,MATCH(Summary!AM$1,'RA2-Elevated Dumps Slopes'!$A$9:$BN$9,1),FALSE),0)+IFERROR(VLOOKUP($B18,'RA3-Backfilled Pits'!$A$11:$BN$18,MATCH(Summary!AM$1,'RA3-Backfilled Pits'!$A$9:$BN$9,1),FALSE),0)+IFERROR(VLOOKUP($B18,'RA4-Tracks_Roads'!$A$11:$BN$18,MATCH(Summary!AM$1,'RA4-Tracks_Roads'!$A$9:$BN$9,1),FALSE),0)+IFERROR(VLOOKUP($B18,'RA5-ROM'!$A$11:$BN$18,MATCH(Summary!AM$1,'RA5-ROM'!$A$9:$BN$9,1),FALSE),0)+IFERROR(VLOOKUP($B18,'RA6-CHPP'!$A$11:$BN$18,MATCH(Summary!AM$1,'RA6-CHPP'!$A$9:$BN$9,1),FALSE),0)+IFERROR(VLOOKUP($B18,'RA7-Mine Infrastructure Area'!$A$11:$BN$18,MATCH(Summary!AM$1,'RA7-Mine Infrastructure Area'!$A$9:$BN$9,1),FALSE),0)+IFERROR(VLOOKUP($B18,'RA8-Water Management Structures'!$A$11:$BN$18,MATCH(Summary!AM$1,'RA8-Water Management Structures'!$A$9:$BN$9,1),FALSE),0)+IFERROR(VLOOKUP($B18,'RA9-Codisposal Upper'!$A$11:$BN$18,MATCH(Summary!AM$1,'RA9-Codisposal Upper'!$A$9:$BN$9,1),FALSE),0)+IFERROR(VLOOKUP($B18,'RA10-Codisposal Slopes'!$A$11:$BN$18,MATCH(Summary!AM$1,'RA10-Codisposal Slopes'!$A$9:$BN$9,1),FALSE),0)+IFERROR(VLOOKUP($B18,'IA1-Final Void inc Ramps'!$A$11:$BN$18,MATCH(Summary!AM$1,'IA1-Final Void inc Ramps'!$A$9:$BN$9,1),FALSE),0)</f>
        <v>1331.3100000000002</v>
      </c>
      <c r="AN18" s="51">
        <f>IFERROR(VLOOKUP($B18,'RA1- Elevated Dumps Upper'!$A$11:$BN$18,MATCH(Summary!AN$1,'RA1- Elevated Dumps Upper'!$A$9:$BN$9,1),FALSE),0)+IFERROR(VLOOKUP($B18,'RA2-Elevated Dumps Slopes'!$A$11:$BN$18,MATCH(Summary!AN$1,'RA2-Elevated Dumps Slopes'!$A$9:$BN$9,1),FALSE),0)+IFERROR(VLOOKUP($B18,'RA3-Backfilled Pits'!$A$11:$BN$18,MATCH(Summary!AN$1,'RA3-Backfilled Pits'!$A$9:$BN$9,1),FALSE),0)+IFERROR(VLOOKUP($B18,'RA4-Tracks_Roads'!$A$11:$BN$18,MATCH(Summary!AN$1,'RA4-Tracks_Roads'!$A$9:$BN$9,1),FALSE),0)+IFERROR(VLOOKUP($B18,'RA5-ROM'!$A$11:$BN$18,MATCH(Summary!AN$1,'RA5-ROM'!$A$9:$BN$9,1),FALSE),0)+IFERROR(VLOOKUP($B18,'RA6-CHPP'!$A$11:$BN$18,MATCH(Summary!AN$1,'RA6-CHPP'!$A$9:$BN$9,1),FALSE),0)+IFERROR(VLOOKUP($B18,'RA7-Mine Infrastructure Area'!$A$11:$BN$18,MATCH(Summary!AN$1,'RA7-Mine Infrastructure Area'!$A$9:$BN$9,1),FALSE),0)+IFERROR(VLOOKUP($B18,'RA8-Water Management Structures'!$A$11:$BN$18,MATCH(Summary!AN$1,'RA8-Water Management Structures'!$A$9:$BN$9,1),FALSE),0)+IFERROR(VLOOKUP($B18,'RA9-Codisposal Upper'!$A$11:$BN$18,MATCH(Summary!AN$1,'RA9-Codisposal Upper'!$A$9:$BN$9,1),FALSE),0)+IFERROR(VLOOKUP($B18,'RA10-Codisposal Slopes'!$A$11:$BN$18,MATCH(Summary!AN$1,'RA10-Codisposal Slopes'!$A$9:$BN$9,1),FALSE),0)+IFERROR(VLOOKUP($B18,'IA1-Final Void inc Ramps'!$A$11:$BN$18,MATCH(Summary!AN$1,'IA1-Final Void inc Ramps'!$A$9:$BN$9,1),FALSE),0)</f>
        <v>1331.3100000000002</v>
      </c>
      <c r="AO18" s="51">
        <f>IFERROR(VLOOKUP($B18,'RA1- Elevated Dumps Upper'!$A$11:$BN$18,MATCH(Summary!AO$1,'RA1- Elevated Dumps Upper'!$A$9:$BN$9,1),FALSE),0)+IFERROR(VLOOKUP($B18,'RA2-Elevated Dumps Slopes'!$A$11:$BN$18,MATCH(Summary!AO$1,'RA2-Elevated Dumps Slopes'!$A$9:$BN$9,1),FALSE),0)+IFERROR(VLOOKUP($B18,'RA3-Backfilled Pits'!$A$11:$BN$18,MATCH(Summary!AO$1,'RA3-Backfilled Pits'!$A$9:$BN$9,1),FALSE),0)+IFERROR(VLOOKUP($B18,'RA4-Tracks_Roads'!$A$11:$BN$18,MATCH(Summary!AO$1,'RA4-Tracks_Roads'!$A$9:$BN$9,1),FALSE),0)+IFERROR(VLOOKUP($B18,'RA5-ROM'!$A$11:$BN$18,MATCH(Summary!AO$1,'RA5-ROM'!$A$9:$BN$9,1),FALSE),0)+IFERROR(VLOOKUP($B18,'RA6-CHPP'!$A$11:$BN$18,MATCH(Summary!AO$1,'RA6-CHPP'!$A$9:$BN$9,1),FALSE),0)+IFERROR(VLOOKUP($B18,'RA7-Mine Infrastructure Area'!$A$11:$BN$18,MATCH(Summary!AO$1,'RA7-Mine Infrastructure Area'!$A$9:$BN$9,1),FALSE),0)+IFERROR(VLOOKUP($B18,'RA8-Water Management Structures'!$A$11:$BN$18,MATCH(Summary!AO$1,'RA8-Water Management Structures'!$A$9:$BN$9,1),FALSE),0)+IFERROR(VLOOKUP($B18,'RA9-Codisposal Upper'!$A$11:$BN$18,MATCH(Summary!AO$1,'RA9-Codisposal Upper'!$A$9:$BN$9,1),FALSE),0)+IFERROR(VLOOKUP($B18,'RA10-Codisposal Slopes'!$A$11:$BN$18,MATCH(Summary!AO$1,'RA10-Codisposal Slopes'!$A$9:$BN$9,1),FALSE),0)+IFERROR(VLOOKUP($B18,'IA1-Final Void inc Ramps'!$A$11:$BN$18,MATCH(Summary!AO$1,'IA1-Final Void inc Ramps'!$A$9:$BN$9,1),FALSE),0)</f>
        <v>1331.3100000000002</v>
      </c>
      <c r="AP18" s="51">
        <f>IFERROR(VLOOKUP($B18,'RA1- Elevated Dumps Upper'!$A$11:$BN$18,MATCH(Summary!AP$1,'RA1- Elevated Dumps Upper'!$A$9:$BN$9,1),FALSE),0)+IFERROR(VLOOKUP($B18,'RA2-Elevated Dumps Slopes'!$A$11:$BN$18,MATCH(Summary!AP$1,'RA2-Elevated Dumps Slopes'!$A$9:$BN$9,1),FALSE),0)+IFERROR(VLOOKUP($B18,'RA3-Backfilled Pits'!$A$11:$BN$18,MATCH(Summary!AP$1,'RA3-Backfilled Pits'!$A$9:$BN$9,1),FALSE),0)+IFERROR(VLOOKUP($B18,'RA4-Tracks_Roads'!$A$11:$BN$18,MATCH(Summary!AP$1,'RA4-Tracks_Roads'!$A$9:$BN$9,1),FALSE),0)+IFERROR(VLOOKUP($B18,'RA5-ROM'!$A$11:$BN$18,MATCH(Summary!AP$1,'RA5-ROM'!$A$9:$BN$9,1),FALSE),0)+IFERROR(VLOOKUP($B18,'RA6-CHPP'!$A$11:$BN$18,MATCH(Summary!AP$1,'RA6-CHPP'!$A$9:$BN$9,1),FALSE),0)+IFERROR(VLOOKUP($B18,'RA7-Mine Infrastructure Area'!$A$11:$BN$18,MATCH(Summary!AP$1,'RA7-Mine Infrastructure Area'!$A$9:$BN$9,1),FALSE),0)+IFERROR(VLOOKUP($B18,'RA8-Water Management Structures'!$A$11:$BN$18,MATCH(Summary!AP$1,'RA8-Water Management Structures'!$A$9:$BN$9,1),FALSE),0)+IFERROR(VLOOKUP($B18,'RA9-Codisposal Upper'!$A$11:$BN$18,MATCH(Summary!AP$1,'RA9-Codisposal Upper'!$A$9:$BN$9,1),FALSE),0)+IFERROR(VLOOKUP($B18,'RA10-Codisposal Slopes'!$A$11:$BN$18,MATCH(Summary!AP$1,'RA10-Codisposal Slopes'!$A$9:$BN$9,1),FALSE),0)+IFERROR(VLOOKUP($B18,'IA1-Final Void inc Ramps'!$A$11:$BN$18,MATCH(Summary!AP$1,'IA1-Final Void inc Ramps'!$A$9:$BN$9,1),FALSE),0)</f>
        <v>1331.3100000000002</v>
      </c>
      <c r="AQ18" s="51">
        <f>IFERROR(VLOOKUP($B18,'RA1- Elevated Dumps Upper'!$A$11:$BN$18,MATCH(Summary!AQ$1,'RA1- Elevated Dumps Upper'!$A$9:$BN$9,1),FALSE),0)+IFERROR(VLOOKUP($B18,'RA2-Elevated Dumps Slopes'!$A$11:$BN$18,MATCH(Summary!AQ$1,'RA2-Elevated Dumps Slopes'!$A$9:$BN$9,1),FALSE),0)+IFERROR(VLOOKUP($B18,'RA3-Backfilled Pits'!$A$11:$BN$18,MATCH(Summary!AQ$1,'RA3-Backfilled Pits'!$A$9:$BN$9,1),FALSE),0)+IFERROR(VLOOKUP($B18,'RA4-Tracks_Roads'!$A$11:$BN$18,MATCH(Summary!AQ$1,'RA4-Tracks_Roads'!$A$9:$BN$9,1),FALSE),0)+IFERROR(VLOOKUP($B18,'RA5-ROM'!$A$11:$BN$18,MATCH(Summary!AQ$1,'RA5-ROM'!$A$9:$BN$9,1),FALSE),0)+IFERROR(VLOOKUP($B18,'RA6-CHPP'!$A$11:$BN$18,MATCH(Summary!AQ$1,'RA6-CHPP'!$A$9:$BN$9,1),FALSE),0)+IFERROR(VLOOKUP($B18,'RA7-Mine Infrastructure Area'!$A$11:$BN$18,MATCH(Summary!AQ$1,'RA7-Mine Infrastructure Area'!$A$9:$BN$9,1),FALSE),0)+IFERROR(VLOOKUP($B18,'RA8-Water Management Structures'!$A$11:$BN$18,MATCH(Summary!AQ$1,'RA8-Water Management Structures'!$A$9:$BN$9,1),FALSE),0)+IFERROR(VLOOKUP($B18,'RA9-Codisposal Upper'!$A$11:$BN$18,MATCH(Summary!AQ$1,'RA9-Codisposal Upper'!$A$9:$BN$9,1),FALSE),0)+IFERROR(VLOOKUP($B18,'RA10-Codisposal Slopes'!$A$11:$BN$18,MATCH(Summary!AQ$1,'RA10-Codisposal Slopes'!$A$9:$BN$9,1),FALSE),0)+IFERROR(VLOOKUP($B18,'IA1-Final Void inc Ramps'!$A$11:$BN$18,MATCH(Summary!AQ$1,'IA1-Final Void inc Ramps'!$A$9:$BN$9,1),FALSE),0)</f>
        <v>1331.3100000000002</v>
      </c>
      <c r="AR18" s="51">
        <f>IFERROR(VLOOKUP($B18,'RA1- Elevated Dumps Upper'!$A$11:$BN$18,MATCH(Summary!AR$1,'RA1- Elevated Dumps Upper'!$A$9:$BN$9,1),FALSE),0)+IFERROR(VLOOKUP($B18,'RA2-Elevated Dumps Slopes'!$A$11:$BN$18,MATCH(Summary!AR$1,'RA2-Elevated Dumps Slopes'!$A$9:$BN$9,1),FALSE),0)+IFERROR(VLOOKUP($B18,'RA3-Backfilled Pits'!$A$11:$BN$18,MATCH(Summary!AR$1,'RA3-Backfilled Pits'!$A$9:$BN$9,1),FALSE),0)+IFERROR(VLOOKUP($B18,'RA4-Tracks_Roads'!$A$11:$BN$18,MATCH(Summary!AR$1,'RA4-Tracks_Roads'!$A$9:$BN$9,1),FALSE),0)+IFERROR(VLOOKUP($B18,'RA5-ROM'!$A$11:$BN$18,MATCH(Summary!AR$1,'RA5-ROM'!$A$9:$BN$9,1),FALSE),0)+IFERROR(VLOOKUP($B18,'RA6-CHPP'!$A$11:$BN$18,MATCH(Summary!AR$1,'RA6-CHPP'!$A$9:$BN$9,1),FALSE),0)+IFERROR(VLOOKUP($B18,'RA7-Mine Infrastructure Area'!$A$11:$BN$18,MATCH(Summary!AR$1,'RA7-Mine Infrastructure Area'!$A$9:$BN$9,1),FALSE),0)+IFERROR(VLOOKUP($B18,'RA8-Water Management Structures'!$A$11:$BN$18,MATCH(Summary!AR$1,'RA8-Water Management Structures'!$A$9:$BN$9,1),FALSE),0)+IFERROR(VLOOKUP($B18,'RA9-Codisposal Upper'!$A$11:$BN$18,MATCH(Summary!AR$1,'RA9-Codisposal Upper'!$A$9:$BN$9,1),FALSE),0)+IFERROR(VLOOKUP($B18,'RA10-Codisposal Slopes'!$A$11:$BN$18,MATCH(Summary!AR$1,'RA10-Codisposal Slopes'!$A$9:$BN$9,1),FALSE),0)+IFERROR(VLOOKUP($B18,'IA1-Final Void inc Ramps'!$A$11:$BN$18,MATCH(Summary!AR$1,'IA1-Final Void inc Ramps'!$A$9:$BN$9,1),FALSE),0)</f>
        <v>1331.3100000000002</v>
      </c>
      <c r="AS18" s="51">
        <f>IFERROR(VLOOKUP($B18,'RA1- Elevated Dumps Upper'!$A$11:$BN$18,MATCH(Summary!AS$1,'RA1- Elevated Dumps Upper'!$A$9:$BN$9,1),FALSE),0)+IFERROR(VLOOKUP($B18,'RA2-Elevated Dumps Slopes'!$A$11:$BN$18,MATCH(Summary!AS$1,'RA2-Elevated Dumps Slopes'!$A$9:$BN$9,1),FALSE),0)+IFERROR(VLOOKUP($B18,'RA3-Backfilled Pits'!$A$11:$BN$18,MATCH(Summary!AS$1,'RA3-Backfilled Pits'!$A$9:$BN$9,1),FALSE),0)+IFERROR(VLOOKUP($B18,'RA4-Tracks_Roads'!$A$11:$BN$18,MATCH(Summary!AS$1,'RA4-Tracks_Roads'!$A$9:$BN$9,1),FALSE),0)+IFERROR(VLOOKUP($B18,'RA5-ROM'!$A$11:$BN$18,MATCH(Summary!AS$1,'RA5-ROM'!$A$9:$BN$9,1),FALSE),0)+IFERROR(VLOOKUP($B18,'RA6-CHPP'!$A$11:$BN$18,MATCH(Summary!AS$1,'RA6-CHPP'!$A$9:$BN$9,1),FALSE),0)+IFERROR(VLOOKUP($B18,'RA7-Mine Infrastructure Area'!$A$11:$BN$18,MATCH(Summary!AS$1,'RA7-Mine Infrastructure Area'!$A$9:$BN$9,1),FALSE),0)+IFERROR(VLOOKUP($B18,'RA8-Water Management Structures'!$A$11:$BN$18,MATCH(Summary!AS$1,'RA8-Water Management Structures'!$A$9:$BN$9,1),FALSE),0)+IFERROR(VLOOKUP($B18,'RA9-Codisposal Upper'!$A$11:$BN$18,MATCH(Summary!AS$1,'RA9-Codisposal Upper'!$A$9:$BN$9,1),FALSE),0)+IFERROR(VLOOKUP($B18,'RA10-Codisposal Slopes'!$A$11:$BN$18,MATCH(Summary!AS$1,'RA10-Codisposal Slopes'!$A$9:$BN$9,1),FALSE),0)+IFERROR(VLOOKUP($B18,'IA1-Final Void inc Ramps'!$A$11:$BN$18,MATCH(Summary!AS$1,'IA1-Final Void inc Ramps'!$A$9:$BN$9,1),FALSE),0)</f>
        <v>1331.3100000000002</v>
      </c>
      <c r="AT18" s="51">
        <f>IFERROR(VLOOKUP($B18,'RA1- Elevated Dumps Upper'!$A$11:$BN$18,MATCH(Summary!AT$1,'RA1- Elevated Dumps Upper'!$A$9:$BN$9,1),FALSE),0)+IFERROR(VLOOKUP($B18,'RA2-Elevated Dumps Slopes'!$A$11:$BN$18,MATCH(Summary!AT$1,'RA2-Elevated Dumps Slopes'!$A$9:$BN$9,1),FALSE),0)+IFERROR(VLOOKUP($B18,'RA3-Backfilled Pits'!$A$11:$BN$18,MATCH(Summary!AT$1,'RA3-Backfilled Pits'!$A$9:$BN$9,1),FALSE),0)+IFERROR(VLOOKUP($B18,'RA4-Tracks_Roads'!$A$11:$BN$18,MATCH(Summary!AT$1,'RA4-Tracks_Roads'!$A$9:$BN$9,1),FALSE),0)+IFERROR(VLOOKUP($B18,'RA5-ROM'!$A$11:$BN$18,MATCH(Summary!AT$1,'RA5-ROM'!$A$9:$BN$9,1),FALSE),0)+IFERROR(VLOOKUP($B18,'RA6-CHPP'!$A$11:$BN$18,MATCH(Summary!AT$1,'RA6-CHPP'!$A$9:$BN$9,1),FALSE),0)+IFERROR(VLOOKUP($B18,'RA7-Mine Infrastructure Area'!$A$11:$BN$18,MATCH(Summary!AT$1,'RA7-Mine Infrastructure Area'!$A$9:$BN$9,1),FALSE),0)+IFERROR(VLOOKUP($B18,'RA8-Water Management Structures'!$A$11:$BN$18,MATCH(Summary!AT$1,'RA8-Water Management Structures'!$A$9:$BN$9,1),FALSE),0)+IFERROR(VLOOKUP($B18,'RA9-Codisposal Upper'!$A$11:$BN$18,MATCH(Summary!AT$1,'RA9-Codisposal Upper'!$A$9:$BN$9,1),FALSE),0)+IFERROR(VLOOKUP($B18,'RA10-Codisposal Slopes'!$A$11:$BN$18,MATCH(Summary!AT$1,'RA10-Codisposal Slopes'!$A$9:$BN$9,1),FALSE),0)+IFERROR(VLOOKUP($B18,'IA1-Final Void inc Ramps'!$A$11:$BN$18,MATCH(Summary!AT$1,'IA1-Final Void inc Ramps'!$A$9:$BN$9,1),FALSE),0)</f>
        <v>1331.3100000000002</v>
      </c>
      <c r="AU18" s="51">
        <f>IFERROR(VLOOKUP($B18,'RA1- Elevated Dumps Upper'!$A$11:$BN$18,MATCH(Summary!AU$1,'RA1- Elevated Dumps Upper'!$A$9:$BN$9,1),FALSE),0)+IFERROR(VLOOKUP($B18,'RA2-Elevated Dumps Slopes'!$A$11:$BN$18,MATCH(Summary!AU$1,'RA2-Elevated Dumps Slopes'!$A$9:$BN$9,1),FALSE),0)+IFERROR(VLOOKUP($B18,'RA3-Backfilled Pits'!$A$11:$BN$18,MATCH(Summary!AU$1,'RA3-Backfilled Pits'!$A$9:$BN$9,1),FALSE),0)+IFERROR(VLOOKUP($B18,'RA4-Tracks_Roads'!$A$11:$BN$18,MATCH(Summary!AU$1,'RA4-Tracks_Roads'!$A$9:$BN$9,1),FALSE),0)+IFERROR(VLOOKUP($B18,'RA5-ROM'!$A$11:$BN$18,MATCH(Summary!AU$1,'RA5-ROM'!$A$9:$BN$9,1),FALSE),0)+IFERROR(VLOOKUP($B18,'RA6-CHPP'!$A$11:$BN$18,MATCH(Summary!AU$1,'RA6-CHPP'!$A$9:$BN$9,1),FALSE),0)+IFERROR(VLOOKUP($B18,'RA7-Mine Infrastructure Area'!$A$11:$BN$18,MATCH(Summary!AU$1,'RA7-Mine Infrastructure Area'!$A$9:$BN$9,1),FALSE),0)+IFERROR(VLOOKUP($B18,'RA8-Water Management Structures'!$A$11:$BN$18,MATCH(Summary!AU$1,'RA8-Water Management Structures'!$A$9:$BN$9,1),FALSE),0)+IFERROR(VLOOKUP($B18,'RA9-Codisposal Upper'!$A$11:$BN$18,MATCH(Summary!AU$1,'RA9-Codisposal Upper'!$A$9:$BN$9,1),FALSE),0)+IFERROR(VLOOKUP($B18,'RA10-Codisposal Slopes'!$A$11:$BN$18,MATCH(Summary!AU$1,'RA10-Codisposal Slopes'!$A$9:$BN$9,1),FALSE),0)+IFERROR(VLOOKUP($B18,'IA1-Final Void inc Ramps'!$A$11:$BN$18,MATCH(Summary!AU$1,'IA1-Final Void inc Ramps'!$A$9:$BN$9,1),FALSE),0)</f>
        <v>1331.3100000000002</v>
      </c>
      <c r="AV18" s="51">
        <f>IFERROR(VLOOKUP($B18,'RA1- Elevated Dumps Upper'!$A$11:$BN$18,MATCH(Summary!AV$1,'RA1- Elevated Dumps Upper'!$A$9:$BN$9,1),FALSE),0)+IFERROR(VLOOKUP($B18,'RA2-Elevated Dumps Slopes'!$A$11:$BN$18,MATCH(Summary!AV$1,'RA2-Elevated Dumps Slopes'!$A$9:$BN$9,1),FALSE),0)+IFERROR(VLOOKUP($B18,'RA3-Backfilled Pits'!$A$11:$BN$18,MATCH(Summary!AV$1,'RA3-Backfilled Pits'!$A$9:$BN$9,1),FALSE),0)+IFERROR(VLOOKUP($B18,'RA4-Tracks_Roads'!$A$11:$BN$18,MATCH(Summary!AV$1,'RA4-Tracks_Roads'!$A$9:$BN$9,1),FALSE),0)+IFERROR(VLOOKUP($B18,'RA5-ROM'!$A$11:$BN$18,MATCH(Summary!AV$1,'RA5-ROM'!$A$9:$BN$9,1),FALSE),0)+IFERROR(VLOOKUP($B18,'RA6-CHPP'!$A$11:$BN$18,MATCH(Summary!AV$1,'RA6-CHPP'!$A$9:$BN$9,1),FALSE),0)+IFERROR(VLOOKUP($B18,'RA7-Mine Infrastructure Area'!$A$11:$BN$18,MATCH(Summary!AV$1,'RA7-Mine Infrastructure Area'!$A$9:$BN$9,1),FALSE),0)+IFERROR(VLOOKUP($B18,'RA8-Water Management Structures'!$A$11:$BN$18,MATCH(Summary!AV$1,'RA8-Water Management Structures'!$A$9:$BN$9,1),FALSE),0)+IFERROR(VLOOKUP($B18,'RA9-Codisposal Upper'!$A$11:$BN$18,MATCH(Summary!AV$1,'RA9-Codisposal Upper'!$A$9:$BN$9,1),FALSE),0)+IFERROR(VLOOKUP($B18,'RA10-Codisposal Slopes'!$A$11:$BN$18,MATCH(Summary!AV$1,'RA10-Codisposal Slopes'!$A$9:$BN$9,1),FALSE),0)+IFERROR(VLOOKUP($B18,'IA1-Final Void inc Ramps'!$A$11:$BN$18,MATCH(Summary!AV$1,'IA1-Final Void inc Ramps'!$A$9:$BN$9,1),FALSE),0)</f>
        <v>1331.3100000000002</v>
      </c>
      <c r="AW18" s="51">
        <f>IFERROR(VLOOKUP($B18,'RA1- Elevated Dumps Upper'!$A$11:$BN$18,MATCH(Summary!AW$1,'RA1- Elevated Dumps Upper'!$A$9:$BN$9,1),FALSE),0)+IFERROR(VLOOKUP($B18,'RA2-Elevated Dumps Slopes'!$A$11:$BN$18,MATCH(Summary!AW$1,'RA2-Elevated Dumps Slopes'!$A$9:$BN$9,1),FALSE),0)+IFERROR(VLOOKUP($B18,'RA3-Backfilled Pits'!$A$11:$BN$18,MATCH(Summary!AW$1,'RA3-Backfilled Pits'!$A$9:$BN$9,1),FALSE),0)+IFERROR(VLOOKUP($B18,'RA4-Tracks_Roads'!$A$11:$BN$18,MATCH(Summary!AW$1,'RA4-Tracks_Roads'!$A$9:$BN$9,1),FALSE),0)+IFERROR(VLOOKUP($B18,'RA5-ROM'!$A$11:$BN$18,MATCH(Summary!AW$1,'RA5-ROM'!$A$9:$BN$9,1),FALSE),0)+IFERROR(VLOOKUP($B18,'RA6-CHPP'!$A$11:$BN$18,MATCH(Summary!AW$1,'RA6-CHPP'!$A$9:$BN$9,1),FALSE),0)+IFERROR(VLOOKUP($B18,'RA7-Mine Infrastructure Area'!$A$11:$BN$18,MATCH(Summary!AW$1,'RA7-Mine Infrastructure Area'!$A$9:$BN$9,1),FALSE),0)+IFERROR(VLOOKUP($B18,'RA8-Water Management Structures'!$A$11:$BN$18,MATCH(Summary!AW$1,'RA8-Water Management Structures'!$A$9:$BN$9,1),FALSE),0)+IFERROR(VLOOKUP($B18,'RA9-Codisposal Upper'!$A$11:$BN$18,MATCH(Summary!AW$1,'RA9-Codisposal Upper'!$A$9:$BN$9,1),FALSE),0)+IFERROR(VLOOKUP($B18,'RA10-Codisposal Slopes'!$A$11:$BN$18,MATCH(Summary!AW$1,'RA10-Codisposal Slopes'!$A$9:$BN$9,1),FALSE),0)+IFERROR(VLOOKUP($B18,'IA1-Final Void inc Ramps'!$A$11:$BN$18,MATCH(Summary!AW$1,'IA1-Final Void inc Ramps'!$A$9:$BN$9,1),FALSE),0)</f>
        <v>1331.3100000000002</v>
      </c>
      <c r="AX18" s="51">
        <f>IFERROR(VLOOKUP($B18,'RA1- Elevated Dumps Upper'!$A$11:$BN$18,MATCH(Summary!AX$1,'RA1- Elevated Dumps Upper'!$A$9:$BN$9,1),FALSE),0)+IFERROR(VLOOKUP($B18,'RA2-Elevated Dumps Slopes'!$A$11:$BN$18,MATCH(Summary!AX$1,'RA2-Elevated Dumps Slopes'!$A$9:$BN$9,1),FALSE),0)+IFERROR(VLOOKUP($B18,'RA3-Backfilled Pits'!$A$11:$BN$18,MATCH(Summary!AX$1,'RA3-Backfilled Pits'!$A$9:$BN$9,1),FALSE),0)+IFERROR(VLOOKUP($B18,'RA4-Tracks_Roads'!$A$11:$BN$18,MATCH(Summary!AX$1,'RA4-Tracks_Roads'!$A$9:$BN$9,1),FALSE),0)+IFERROR(VLOOKUP($B18,'RA5-ROM'!$A$11:$BN$18,MATCH(Summary!AX$1,'RA5-ROM'!$A$9:$BN$9,1),FALSE),0)+IFERROR(VLOOKUP($B18,'RA6-CHPP'!$A$11:$BN$18,MATCH(Summary!AX$1,'RA6-CHPP'!$A$9:$BN$9,1),FALSE),0)+IFERROR(VLOOKUP($B18,'RA7-Mine Infrastructure Area'!$A$11:$BN$18,MATCH(Summary!AX$1,'RA7-Mine Infrastructure Area'!$A$9:$BN$9,1),FALSE),0)+IFERROR(VLOOKUP($B18,'RA8-Water Management Structures'!$A$11:$BN$18,MATCH(Summary!AX$1,'RA8-Water Management Structures'!$A$9:$BN$9,1),FALSE),0)+IFERROR(VLOOKUP($B18,'RA9-Codisposal Upper'!$A$11:$BN$18,MATCH(Summary!AX$1,'RA9-Codisposal Upper'!$A$9:$BN$9,1),FALSE),0)+IFERROR(VLOOKUP($B18,'RA10-Codisposal Slopes'!$A$11:$BN$18,MATCH(Summary!AX$1,'RA10-Codisposal Slopes'!$A$9:$BN$9,1),FALSE),0)+IFERROR(VLOOKUP($B18,'IA1-Final Void inc Ramps'!$A$11:$BN$18,MATCH(Summary!AX$1,'IA1-Final Void inc Ramps'!$A$9:$BN$9,1),FALSE),0)</f>
        <v>1331.3100000000002</v>
      </c>
      <c r="AY18" s="51">
        <f>IFERROR(VLOOKUP($B18,'RA1- Elevated Dumps Upper'!$A$11:$BN$18,MATCH(Summary!AY$1,'RA1- Elevated Dumps Upper'!$A$9:$BN$9,1),FALSE),0)+IFERROR(VLOOKUP($B18,'RA2-Elevated Dumps Slopes'!$A$11:$BN$18,MATCH(Summary!AY$1,'RA2-Elevated Dumps Slopes'!$A$9:$BN$9,1),FALSE),0)+IFERROR(VLOOKUP($B18,'RA3-Backfilled Pits'!$A$11:$BN$18,MATCH(Summary!AY$1,'RA3-Backfilled Pits'!$A$9:$BN$9,1),FALSE),0)+IFERROR(VLOOKUP($B18,'RA4-Tracks_Roads'!$A$11:$BN$18,MATCH(Summary!AY$1,'RA4-Tracks_Roads'!$A$9:$BN$9,1),FALSE),0)+IFERROR(VLOOKUP($B18,'RA5-ROM'!$A$11:$BN$18,MATCH(Summary!AY$1,'RA5-ROM'!$A$9:$BN$9,1),FALSE),0)+IFERROR(VLOOKUP($B18,'RA6-CHPP'!$A$11:$BN$18,MATCH(Summary!AY$1,'RA6-CHPP'!$A$9:$BN$9,1),FALSE),0)+IFERROR(VLOOKUP($B18,'RA7-Mine Infrastructure Area'!$A$11:$BN$18,MATCH(Summary!AY$1,'RA7-Mine Infrastructure Area'!$A$9:$BN$9,1),FALSE),0)+IFERROR(VLOOKUP($B18,'RA8-Water Management Structures'!$A$11:$BN$18,MATCH(Summary!AY$1,'RA8-Water Management Structures'!$A$9:$BN$9,1),FALSE),0)+IFERROR(VLOOKUP($B18,'RA9-Codisposal Upper'!$A$11:$BN$18,MATCH(Summary!AY$1,'RA9-Codisposal Upper'!$A$9:$BN$9,1),FALSE),0)+IFERROR(VLOOKUP($B18,'RA10-Codisposal Slopes'!$A$11:$BN$18,MATCH(Summary!AY$1,'RA10-Codisposal Slopes'!$A$9:$BN$9,1),FALSE),0)+IFERROR(VLOOKUP($B18,'IA1-Final Void inc Ramps'!$A$11:$BN$18,MATCH(Summary!AY$1,'IA1-Final Void inc Ramps'!$A$9:$BN$9,1),FALSE),0)</f>
        <v>1331.3100000000002</v>
      </c>
      <c r="AZ18" s="51">
        <f>IFERROR(VLOOKUP($B18,'RA1- Elevated Dumps Upper'!$A$11:$BN$18,MATCH(Summary!AZ$1,'RA1- Elevated Dumps Upper'!$A$9:$BN$9,1),FALSE),0)+IFERROR(VLOOKUP($B18,'RA2-Elevated Dumps Slopes'!$A$11:$BN$18,MATCH(Summary!AZ$1,'RA2-Elevated Dumps Slopes'!$A$9:$BN$9,1),FALSE),0)+IFERROR(VLOOKUP($B18,'RA3-Backfilled Pits'!$A$11:$BN$18,MATCH(Summary!AZ$1,'RA3-Backfilled Pits'!$A$9:$BN$9,1),FALSE),0)+IFERROR(VLOOKUP($B18,'RA4-Tracks_Roads'!$A$11:$BN$18,MATCH(Summary!AZ$1,'RA4-Tracks_Roads'!$A$9:$BN$9,1),FALSE),0)+IFERROR(VLOOKUP($B18,'RA5-ROM'!$A$11:$BN$18,MATCH(Summary!AZ$1,'RA5-ROM'!$A$9:$BN$9,1),FALSE),0)+IFERROR(VLOOKUP($B18,'RA6-CHPP'!$A$11:$BN$18,MATCH(Summary!AZ$1,'RA6-CHPP'!$A$9:$BN$9,1),FALSE),0)+IFERROR(VLOOKUP($B18,'RA7-Mine Infrastructure Area'!$A$11:$BN$18,MATCH(Summary!AZ$1,'RA7-Mine Infrastructure Area'!$A$9:$BN$9,1),FALSE),0)+IFERROR(VLOOKUP($B18,'RA8-Water Management Structures'!$A$11:$BN$18,MATCH(Summary!AZ$1,'RA8-Water Management Structures'!$A$9:$BN$9,1),FALSE),0)+IFERROR(VLOOKUP($B18,'RA9-Codisposal Upper'!$A$11:$BN$18,MATCH(Summary!AZ$1,'RA9-Codisposal Upper'!$A$9:$BN$9,1),FALSE),0)+IFERROR(VLOOKUP($B18,'RA10-Codisposal Slopes'!$A$11:$BN$18,MATCH(Summary!AZ$1,'RA10-Codisposal Slopes'!$A$9:$BN$9,1),FALSE),0)+IFERROR(VLOOKUP($B18,'IA1-Final Void inc Ramps'!$A$11:$BN$18,MATCH(Summary!AZ$1,'IA1-Final Void inc Ramps'!$A$9:$BN$9,1),FALSE),0)</f>
        <v>1331.3100000000002</v>
      </c>
      <c r="BA18" s="51">
        <f>IFERROR(VLOOKUP($B18,'RA1- Elevated Dumps Upper'!$A$11:$BN$18,MATCH(Summary!BA$1,'RA1- Elevated Dumps Upper'!$A$9:$BN$9,1),FALSE),0)+IFERROR(VLOOKUP($B18,'RA2-Elevated Dumps Slopes'!$A$11:$BN$18,MATCH(Summary!BA$1,'RA2-Elevated Dumps Slopes'!$A$9:$BN$9,1),FALSE),0)+IFERROR(VLOOKUP($B18,'RA3-Backfilled Pits'!$A$11:$BN$18,MATCH(Summary!BA$1,'RA3-Backfilled Pits'!$A$9:$BN$9,1),FALSE),0)+IFERROR(VLOOKUP($B18,'RA4-Tracks_Roads'!$A$11:$BN$18,MATCH(Summary!BA$1,'RA4-Tracks_Roads'!$A$9:$BN$9,1),FALSE),0)+IFERROR(VLOOKUP($B18,'RA5-ROM'!$A$11:$BN$18,MATCH(Summary!BA$1,'RA5-ROM'!$A$9:$BN$9,1),FALSE),0)+IFERROR(VLOOKUP($B18,'RA6-CHPP'!$A$11:$BN$18,MATCH(Summary!BA$1,'RA6-CHPP'!$A$9:$BN$9,1),FALSE),0)+IFERROR(VLOOKUP($B18,'RA7-Mine Infrastructure Area'!$A$11:$BN$18,MATCH(Summary!BA$1,'RA7-Mine Infrastructure Area'!$A$9:$BN$9,1),FALSE),0)+IFERROR(VLOOKUP($B18,'RA8-Water Management Structures'!$A$11:$BN$18,MATCH(Summary!BA$1,'RA8-Water Management Structures'!$A$9:$BN$9,1),FALSE),0)+IFERROR(VLOOKUP($B18,'RA9-Codisposal Upper'!$A$11:$BN$18,MATCH(Summary!BA$1,'RA9-Codisposal Upper'!$A$9:$BN$9,1),FALSE),0)+IFERROR(VLOOKUP($B18,'RA10-Codisposal Slopes'!$A$11:$BN$18,MATCH(Summary!BA$1,'RA10-Codisposal Slopes'!$A$9:$BN$9,1),FALSE),0)+IFERROR(VLOOKUP($B18,'IA1-Final Void inc Ramps'!$A$11:$BN$18,MATCH(Summary!BA$1,'IA1-Final Void inc Ramps'!$A$9:$BN$9,1),FALSE),0)</f>
        <v>1331.3100000000002</v>
      </c>
      <c r="BB18" s="51">
        <f>IFERROR(VLOOKUP($B18,'RA1- Elevated Dumps Upper'!$A$11:$BN$18,MATCH(Summary!BB$1,'RA1- Elevated Dumps Upper'!$A$9:$BN$9,1),FALSE),0)+IFERROR(VLOOKUP($B18,'RA2-Elevated Dumps Slopes'!$A$11:$BN$18,MATCH(Summary!BB$1,'RA2-Elevated Dumps Slopes'!$A$9:$BN$9,1),FALSE),0)+IFERROR(VLOOKUP($B18,'RA3-Backfilled Pits'!$A$11:$BN$18,MATCH(Summary!BB$1,'RA3-Backfilled Pits'!$A$9:$BN$9,1),FALSE),0)+IFERROR(VLOOKUP($B18,'RA4-Tracks_Roads'!$A$11:$BN$18,MATCH(Summary!BB$1,'RA4-Tracks_Roads'!$A$9:$BN$9,1),FALSE),0)+IFERROR(VLOOKUP($B18,'RA5-ROM'!$A$11:$BN$18,MATCH(Summary!BB$1,'RA5-ROM'!$A$9:$BN$9,1),FALSE),0)+IFERROR(VLOOKUP($B18,'RA6-CHPP'!$A$11:$BN$18,MATCH(Summary!BB$1,'RA6-CHPP'!$A$9:$BN$9,1),FALSE),0)+IFERROR(VLOOKUP($B18,'RA7-Mine Infrastructure Area'!$A$11:$BN$18,MATCH(Summary!BB$1,'RA7-Mine Infrastructure Area'!$A$9:$BN$9,1),FALSE),0)+IFERROR(VLOOKUP($B18,'RA8-Water Management Structures'!$A$11:$BN$18,MATCH(Summary!BB$1,'RA8-Water Management Structures'!$A$9:$BN$9,1),FALSE),0)+IFERROR(VLOOKUP($B18,'RA9-Codisposal Upper'!$A$11:$BN$18,MATCH(Summary!BB$1,'RA9-Codisposal Upper'!$A$9:$BN$9,1),FALSE),0)+IFERROR(VLOOKUP($B18,'RA10-Codisposal Slopes'!$A$11:$BN$18,MATCH(Summary!BB$1,'RA10-Codisposal Slopes'!$A$9:$BN$9,1),FALSE),0)+IFERROR(VLOOKUP($B18,'IA1-Final Void inc Ramps'!$A$11:$BN$18,MATCH(Summary!BB$1,'IA1-Final Void inc Ramps'!$A$9:$BN$9,1),FALSE),0)</f>
        <v>1331.3100000000002</v>
      </c>
      <c r="BC18" s="51">
        <f>IFERROR(VLOOKUP($B18,'RA1- Elevated Dumps Upper'!$A$11:$BN$18,MATCH(Summary!BC$1,'RA1- Elevated Dumps Upper'!$A$9:$BN$9,1),FALSE),0)+IFERROR(VLOOKUP($B18,'RA2-Elevated Dumps Slopes'!$A$11:$BN$18,MATCH(Summary!BC$1,'RA2-Elevated Dumps Slopes'!$A$9:$BN$9,1),FALSE),0)+IFERROR(VLOOKUP($B18,'RA3-Backfilled Pits'!$A$11:$BN$18,MATCH(Summary!BC$1,'RA3-Backfilled Pits'!$A$9:$BN$9,1),FALSE),0)+IFERROR(VLOOKUP($B18,'RA4-Tracks_Roads'!$A$11:$BN$18,MATCH(Summary!BC$1,'RA4-Tracks_Roads'!$A$9:$BN$9,1),FALSE),0)+IFERROR(VLOOKUP($B18,'RA5-ROM'!$A$11:$BN$18,MATCH(Summary!BC$1,'RA5-ROM'!$A$9:$BN$9,1),FALSE),0)+IFERROR(VLOOKUP($B18,'RA6-CHPP'!$A$11:$BN$18,MATCH(Summary!BC$1,'RA6-CHPP'!$A$9:$BN$9,1),FALSE),0)+IFERROR(VLOOKUP($B18,'RA7-Mine Infrastructure Area'!$A$11:$BN$18,MATCH(Summary!BC$1,'RA7-Mine Infrastructure Area'!$A$9:$BN$9,1),FALSE),0)+IFERROR(VLOOKUP($B18,'RA8-Water Management Structures'!$A$11:$BN$18,MATCH(Summary!BC$1,'RA8-Water Management Structures'!$A$9:$BN$9,1),FALSE),0)+IFERROR(VLOOKUP($B18,'RA9-Codisposal Upper'!$A$11:$BN$18,MATCH(Summary!BC$1,'RA9-Codisposal Upper'!$A$9:$BN$9,1),FALSE),0)+IFERROR(VLOOKUP($B18,'RA10-Codisposal Slopes'!$A$11:$BN$18,MATCH(Summary!BC$1,'RA10-Codisposal Slopes'!$A$9:$BN$9,1),FALSE),0)+IFERROR(VLOOKUP($B18,'IA1-Final Void inc Ramps'!$A$11:$BN$18,MATCH(Summary!BC$1,'IA1-Final Void inc Ramps'!$A$9:$BN$9,1),FALSE),0)</f>
        <v>1331.3100000000002</v>
      </c>
      <c r="BD18" s="51">
        <f>IFERROR(VLOOKUP($B18,'RA1- Elevated Dumps Upper'!$A$11:$BN$18,MATCH(Summary!BD$1,'RA1- Elevated Dumps Upper'!$A$9:$BN$9,1),FALSE),0)+IFERROR(VLOOKUP($B18,'RA2-Elevated Dumps Slopes'!$A$11:$BN$18,MATCH(Summary!BD$1,'RA2-Elevated Dumps Slopes'!$A$9:$BN$9,1),FALSE),0)+IFERROR(VLOOKUP($B18,'RA3-Backfilled Pits'!$A$11:$BN$18,MATCH(Summary!BD$1,'RA3-Backfilled Pits'!$A$9:$BN$9,1),FALSE),0)+IFERROR(VLOOKUP($B18,'RA4-Tracks_Roads'!$A$11:$BN$18,MATCH(Summary!BD$1,'RA4-Tracks_Roads'!$A$9:$BN$9,1),FALSE),0)+IFERROR(VLOOKUP($B18,'RA5-ROM'!$A$11:$BN$18,MATCH(Summary!BD$1,'RA5-ROM'!$A$9:$BN$9,1),FALSE),0)+IFERROR(VLOOKUP($B18,'RA6-CHPP'!$A$11:$BN$18,MATCH(Summary!BD$1,'RA6-CHPP'!$A$9:$BN$9,1),FALSE),0)+IFERROR(VLOOKUP($B18,'RA7-Mine Infrastructure Area'!$A$11:$BN$18,MATCH(Summary!BD$1,'RA7-Mine Infrastructure Area'!$A$9:$BN$9,1),FALSE),0)+IFERROR(VLOOKUP($B18,'RA8-Water Management Structures'!$A$11:$BN$18,MATCH(Summary!BD$1,'RA8-Water Management Structures'!$A$9:$BN$9,1),FALSE),0)+IFERROR(VLOOKUP($B18,'RA9-Codisposal Upper'!$A$11:$BN$18,MATCH(Summary!BD$1,'RA9-Codisposal Upper'!$A$9:$BN$9,1),FALSE),0)+IFERROR(VLOOKUP($B18,'RA10-Codisposal Slopes'!$A$11:$BN$18,MATCH(Summary!BD$1,'RA10-Codisposal Slopes'!$A$9:$BN$9,1),FALSE),0)+IFERROR(VLOOKUP($B18,'IA1-Final Void inc Ramps'!$A$11:$BN$18,MATCH(Summary!BD$1,'IA1-Final Void inc Ramps'!$A$9:$BN$9,1),FALSE),0)</f>
        <v>1331.3100000000002</v>
      </c>
      <c r="BE18" s="51">
        <f>IFERROR(VLOOKUP($B18,'RA1- Elevated Dumps Upper'!$A$11:$BN$18,MATCH(Summary!BE$1,'RA1- Elevated Dumps Upper'!$A$9:$BN$9,1),FALSE),0)+IFERROR(VLOOKUP($B18,'RA2-Elevated Dumps Slopes'!$A$11:$BN$18,MATCH(Summary!BE$1,'RA2-Elevated Dumps Slopes'!$A$9:$BN$9,1),FALSE),0)+IFERROR(VLOOKUP($B18,'RA3-Backfilled Pits'!$A$11:$BN$18,MATCH(Summary!BE$1,'RA3-Backfilled Pits'!$A$9:$BN$9,1),FALSE),0)+IFERROR(VLOOKUP($B18,'RA4-Tracks_Roads'!$A$11:$BN$18,MATCH(Summary!BE$1,'RA4-Tracks_Roads'!$A$9:$BN$9,1),FALSE),0)+IFERROR(VLOOKUP($B18,'RA5-ROM'!$A$11:$BN$18,MATCH(Summary!BE$1,'RA5-ROM'!$A$9:$BN$9,1),FALSE),0)+IFERROR(VLOOKUP($B18,'RA6-CHPP'!$A$11:$BN$18,MATCH(Summary!BE$1,'RA6-CHPP'!$A$9:$BN$9,1),FALSE),0)+IFERROR(VLOOKUP($B18,'RA7-Mine Infrastructure Area'!$A$11:$BN$18,MATCH(Summary!BE$1,'RA7-Mine Infrastructure Area'!$A$9:$BN$9,1),FALSE),0)+IFERROR(VLOOKUP($B18,'RA8-Water Management Structures'!$A$11:$BN$18,MATCH(Summary!BE$1,'RA8-Water Management Structures'!$A$9:$BN$9,1),FALSE),0)+IFERROR(VLOOKUP($B18,'RA9-Codisposal Upper'!$A$11:$BN$18,MATCH(Summary!BE$1,'RA9-Codisposal Upper'!$A$9:$BN$9,1),FALSE),0)+IFERROR(VLOOKUP($B18,'RA10-Codisposal Slopes'!$A$11:$BN$18,MATCH(Summary!BE$1,'RA10-Codisposal Slopes'!$A$9:$BN$9,1),FALSE),0)+IFERROR(VLOOKUP($B18,'IA1-Final Void inc Ramps'!$A$11:$BN$18,MATCH(Summary!BE$1,'IA1-Final Void inc Ramps'!$A$9:$BN$9,1),FALSE),0)</f>
        <v>1331.3100000000002</v>
      </c>
      <c r="BF18" s="51">
        <f>IFERROR(VLOOKUP($B18,'RA1- Elevated Dumps Upper'!$A$11:$BN$18,MATCH(Summary!BF$1,'RA1- Elevated Dumps Upper'!$A$9:$BN$9,1),FALSE),0)+IFERROR(VLOOKUP($B18,'RA2-Elevated Dumps Slopes'!$A$11:$BN$18,MATCH(Summary!BF$1,'RA2-Elevated Dumps Slopes'!$A$9:$BN$9,1),FALSE),0)+IFERROR(VLOOKUP($B18,'RA3-Backfilled Pits'!$A$11:$BN$18,MATCH(Summary!BF$1,'RA3-Backfilled Pits'!$A$9:$BN$9,1),FALSE),0)+IFERROR(VLOOKUP($B18,'RA4-Tracks_Roads'!$A$11:$BN$18,MATCH(Summary!BF$1,'RA4-Tracks_Roads'!$A$9:$BN$9,1),FALSE),0)+IFERROR(VLOOKUP($B18,'RA5-ROM'!$A$11:$BN$18,MATCH(Summary!BF$1,'RA5-ROM'!$A$9:$BN$9,1),FALSE),0)+IFERROR(VLOOKUP($B18,'RA6-CHPP'!$A$11:$BN$18,MATCH(Summary!BF$1,'RA6-CHPP'!$A$9:$BN$9,1),FALSE),0)+IFERROR(VLOOKUP($B18,'RA7-Mine Infrastructure Area'!$A$11:$BN$18,MATCH(Summary!BF$1,'RA7-Mine Infrastructure Area'!$A$9:$BN$9,1),FALSE),0)+IFERROR(VLOOKUP($B18,'RA8-Water Management Structures'!$A$11:$BN$18,MATCH(Summary!BF$1,'RA8-Water Management Structures'!$A$9:$BN$9,1),FALSE),0)+IFERROR(VLOOKUP($B18,'RA9-Codisposal Upper'!$A$11:$BN$18,MATCH(Summary!BF$1,'RA9-Codisposal Upper'!$A$9:$BN$9,1),FALSE),0)+IFERROR(VLOOKUP($B18,'RA10-Codisposal Slopes'!$A$11:$BN$18,MATCH(Summary!BF$1,'RA10-Codisposal Slopes'!$A$9:$BN$9,1),FALSE),0)+IFERROR(VLOOKUP($B18,'IA1-Final Void inc Ramps'!$A$11:$BN$18,MATCH(Summary!BF$1,'IA1-Final Void inc Ramps'!$A$9:$BN$9,1),FALSE),0)</f>
        <v>1331.3100000000002</v>
      </c>
      <c r="BG18" s="51">
        <f>IFERROR(VLOOKUP($B18,'RA1- Elevated Dumps Upper'!$A$11:$BN$18,MATCH(Summary!BG$1,'RA1- Elevated Dumps Upper'!$A$9:$BN$9,1),FALSE),0)+IFERROR(VLOOKUP($B18,'RA2-Elevated Dumps Slopes'!$A$11:$BN$18,MATCH(Summary!BG$1,'RA2-Elevated Dumps Slopes'!$A$9:$BN$9,1),FALSE),0)+IFERROR(VLOOKUP($B18,'RA3-Backfilled Pits'!$A$11:$BN$18,MATCH(Summary!BG$1,'RA3-Backfilled Pits'!$A$9:$BN$9,1),FALSE),0)+IFERROR(VLOOKUP($B18,'RA4-Tracks_Roads'!$A$11:$BN$18,MATCH(Summary!BG$1,'RA4-Tracks_Roads'!$A$9:$BN$9,1),FALSE),0)+IFERROR(VLOOKUP($B18,'RA5-ROM'!$A$11:$BN$18,MATCH(Summary!BG$1,'RA5-ROM'!$A$9:$BN$9,1),FALSE),0)+IFERROR(VLOOKUP($B18,'RA6-CHPP'!$A$11:$BN$18,MATCH(Summary!BG$1,'RA6-CHPP'!$A$9:$BN$9,1),FALSE),0)+IFERROR(VLOOKUP($B18,'RA7-Mine Infrastructure Area'!$A$11:$BN$18,MATCH(Summary!BG$1,'RA7-Mine Infrastructure Area'!$A$9:$BN$9,1),FALSE),0)+IFERROR(VLOOKUP($B18,'RA8-Water Management Structures'!$A$11:$BN$18,MATCH(Summary!BG$1,'RA8-Water Management Structures'!$A$9:$BN$9,1),FALSE),0)+IFERROR(VLOOKUP($B18,'RA9-Codisposal Upper'!$A$11:$BN$18,MATCH(Summary!BG$1,'RA9-Codisposal Upper'!$A$9:$BN$9,1),FALSE),0)+IFERROR(VLOOKUP($B18,'RA10-Codisposal Slopes'!$A$11:$BN$18,MATCH(Summary!BG$1,'RA10-Codisposal Slopes'!$A$9:$BN$9,1),FALSE),0)+IFERROR(VLOOKUP($B18,'IA1-Final Void inc Ramps'!$A$11:$BN$18,MATCH(Summary!BG$1,'IA1-Final Void inc Ramps'!$A$9:$BN$9,1),FALSE),0)</f>
        <v>1331.3100000000002</v>
      </c>
      <c r="BH18" s="51">
        <f>IFERROR(VLOOKUP($B18,'RA1- Elevated Dumps Upper'!$A$11:$BN$18,MATCH(Summary!BH$1,'RA1- Elevated Dumps Upper'!$A$9:$BN$9,1),FALSE),0)+IFERROR(VLOOKUP($B18,'RA2-Elevated Dumps Slopes'!$A$11:$BN$18,MATCH(Summary!BH$1,'RA2-Elevated Dumps Slopes'!$A$9:$BN$9,1),FALSE),0)+IFERROR(VLOOKUP($B18,'RA3-Backfilled Pits'!$A$11:$BN$18,MATCH(Summary!BH$1,'RA3-Backfilled Pits'!$A$9:$BN$9,1),FALSE),0)+IFERROR(VLOOKUP($B18,'RA4-Tracks_Roads'!$A$11:$BN$18,MATCH(Summary!BH$1,'RA4-Tracks_Roads'!$A$9:$BN$9,1),FALSE),0)+IFERROR(VLOOKUP($B18,'RA5-ROM'!$A$11:$BN$18,MATCH(Summary!BH$1,'RA5-ROM'!$A$9:$BN$9,1),FALSE),0)+IFERROR(VLOOKUP($B18,'RA6-CHPP'!$A$11:$BN$18,MATCH(Summary!BH$1,'RA6-CHPP'!$A$9:$BN$9,1),FALSE),0)+IFERROR(VLOOKUP($B18,'RA7-Mine Infrastructure Area'!$A$11:$BN$18,MATCH(Summary!BH$1,'RA7-Mine Infrastructure Area'!$A$9:$BN$9,1),FALSE),0)+IFERROR(VLOOKUP($B18,'RA8-Water Management Structures'!$A$11:$BN$18,MATCH(Summary!BH$1,'RA8-Water Management Structures'!$A$9:$BN$9,1),FALSE),0)+IFERROR(VLOOKUP($B18,'RA9-Codisposal Upper'!$A$11:$BN$18,MATCH(Summary!BH$1,'RA9-Codisposal Upper'!$A$9:$BN$9,1),FALSE),0)+IFERROR(VLOOKUP($B18,'RA10-Codisposal Slopes'!$A$11:$BN$18,MATCH(Summary!BH$1,'RA10-Codisposal Slopes'!$A$9:$BN$9,1),FALSE),0)+IFERROR(VLOOKUP($B18,'IA1-Final Void inc Ramps'!$A$11:$BN$18,MATCH(Summary!BH$1,'IA1-Final Void inc Ramps'!$A$9:$BN$9,1),FALSE),0)</f>
        <v>1331.3100000000002</v>
      </c>
      <c r="BI18" s="51">
        <f>IFERROR(VLOOKUP($B18,'RA1- Elevated Dumps Upper'!$A$11:$BN$18,MATCH(Summary!BI$1,'RA1- Elevated Dumps Upper'!$A$9:$BN$9,1),FALSE),0)+IFERROR(VLOOKUP($B18,'RA2-Elevated Dumps Slopes'!$A$11:$BN$18,MATCH(Summary!BI$1,'RA2-Elevated Dumps Slopes'!$A$9:$BN$9,1),FALSE),0)+IFERROR(VLOOKUP($B18,'RA3-Backfilled Pits'!$A$11:$BN$18,MATCH(Summary!BI$1,'RA3-Backfilled Pits'!$A$9:$BN$9,1),FALSE),0)+IFERROR(VLOOKUP($B18,'RA4-Tracks_Roads'!$A$11:$BN$18,MATCH(Summary!BI$1,'RA4-Tracks_Roads'!$A$9:$BN$9,1),FALSE),0)+IFERROR(VLOOKUP($B18,'RA5-ROM'!$A$11:$BN$18,MATCH(Summary!BI$1,'RA5-ROM'!$A$9:$BN$9,1),FALSE),0)+IFERROR(VLOOKUP($B18,'RA6-CHPP'!$A$11:$BN$18,MATCH(Summary!BI$1,'RA6-CHPP'!$A$9:$BN$9,1),FALSE),0)+IFERROR(VLOOKUP($B18,'RA7-Mine Infrastructure Area'!$A$11:$BN$18,MATCH(Summary!BI$1,'RA7-Mine Infrastructure Area'!$A$9:$BN$9,1),FALSE),0)+IFERROR(VLOOKUP($B18,'RA8-Water Management Structures'!$A$11:$BN$18,MATCH(Summary!BI$1,'RA8-Water Management Structures'!$A$9:$BN$9,1),FALSE),0)+IFERROR(VLOOKUP($B18,'RA9-Codisposal Upper'!$A$11:$BN$18,MATCH(Summary!BI$1,'RA9-Codisposal Upper'!$A$9:$BN$9,1),FALSE),0)+IFERROR(VLOOKUP($B18,'RA10-Codisposal Slopes'!$A$11:$BN$18,MATCH(Summary!BI$1,'RA10-Codisposal Slopes'!$A$9:$BN$9,1),FALSE),0)+IFERROR(VLOOKUP($B18,'IA1-Final Void inc Ramps'!$A$11:$BN$18,MATCH(Summary!BI$1,'IA1-Final Void inc Ramps'!$A$9:$BN$9,1),FALSE),0)</f>
        <v>1331.3100000000002</v>
      </c>
      <c r="BJ18" s="51">
        <f>IFERROR(VLOOKUP($B18,'RA1- Elevated Dumps Upper'!$A$11:$BN$18,MATCH(Summary!BJ$1,'RA1- Elevated Dumps Upper'!$A$9:$BN$9,1),FALSE),0)+IFERROR(VLOOKUP($B18,'RA2-Elevated Dumps Slopes'!$A$11:$BN$18,MATCH(Summary!BJ$1,'RA2-Elevated Dumps Slopes'!$A$9:$BN$9,1),FALSE),0)+IFERROR(VLOOKUP($B18,'RA3-Backfilled Pits'!$A$11:$BN$18,MATCH(Summary!BJ$1,'RA3-Backfilled Pits'!$A$9:$BN$9,1),FALSE),0)+IFERROR(VLOOKUP($B18,'RA4-Tracks_Roads'!$A$11:$BN$18,MATCH(Summary!BJ$1,'RA4-Tracks_Roads'!$A$9:$BN$9,1),FALSE),0)+IFERROR(VLOOKUP($B18,'RA5-ROM'!$A$11:$BN$18,MATCH(Summary!BJ$1,'RA5-ROM'!$A$9:$BN$9,1),FALSE),0)+IFERROR(VLOOKUP($B18,'RA6-CHPP'!$A$11:$BN$18,MATCH(Summary!BJ$1,'RA6-CHPP'!$A$9:$BN$9,1),FALSE),0)+IFERROR(VLOOKUP($B18,'RA7-Mine Infrastructure Area'!$A$11:$BN$18,MATCH(Summary!BJ$1,'RA7-Mine Infrastructure Area'!$A$9:$BN$9,1),FALSE),0)+IFERROR(VLOOKUP($B18,'RA8-Water Management Structures'!$A$11:$BN$18,MATCH(Summary!BJ$1,'RA8-Water Management Structures'!$A$9:$BN$9,1),FALSE),0)+IFERROR(VLOOKUP($B18,'RA9-Codisposal Upper'!$A$11:$BN$18,MATCH(Summary!BJ$1,'RA9-Codisposal Upper'!$A$9:$BN$9,1),FALSE),0)+IFERROR(VLOOKUP($B18,'RA10-Codisposal Slopes'!$A$11:$BN$18,MATCH(Summary!BJ$1,'RA10-Codisposal Slopes'!$A$9:$BN$9,1),FALSE),0)+IFERROR(VLOOKUP($B18,'IA1-Final Void inc Ramps'!$A$11:$BN$18,MATCH(Summary!BJ$1,'IA1-Final Void inc Ramps'!$A$9:$BN$9,1),FALSE),0)</f>
        <v>1331.3100000000002</v>
      </c>
      <c r="BK18" s="51">
        <f>IFERROR(VLOOKUP($B18,'RA1- Elevated Dumps Upper'!$A$11:$BN$18,MATCH(Summary!BK$1,'RA1- Elevated Dumps Upper'!$A$9:$BN$9,1),FALSE),0)+IFERROR(VLOOKUP($B18,'RA2-Elevated Dumps Slopes'!$A$11:$BN$18,MATCH(Summary!BK$1,'RA2-Elevated Dumps Slopes'!$A$9:$BN$9,1),FALSE),0)+IFERROR(VLOOKUP($B18,'RA3-Backfilled Pits'!$A$11:$BN$18,MATCH(Summary!BK$1,'RA3-Backfilled Pits'!$A$9:$BN$9,1),FALSE),0)+IFERROR(VLOOKUP($B18,'RA4-Tracks_Roads'!$A$11:$BN$18,MATCH(Summary!BK$1,'RA4-Tracks_Roads'!$A$9:$BN$9,1),FALSE),0)+IFERROR(VLOOKUP($B18,'RA5-ROM'!$A$11:$BN$18,MATCH(Summary!BK$1,'RA5-ROM'!$A$9:$BN$9,1),FALSE),0)+IFERROR(VLOOKUP($B18,'RA6-CHPP'!$A$11:$BN$18,MATCH(Summary!BK$1,'RA6-CHPP'!$A$9:$BN$9,1),FALSE),0)+IFERROR(VLOOKUP($B18,'RA7-Mine Infrastructure Area'!$A$11:$BN$18,MATCH(Summary!BK$1,'RA7-Mine Infrastructure Area'!$A$9:$BN$9,1),FALSE),0)+IFERROR(VLOOKUP($B18,'RA8-Water Management Structures'!$A$11:$BN$18,MATCH(Summary!BK$1,'RA8-Water Management Structures'!$A$9:$BN$9,1),FALSE),0)+IFERROR(VLOOKUP($B18,'RA9-Codisposal Upper'!$A$11:$BN$18,MATCH(Summary!BK$1,'RA9-Codisposal Upper'!$A$9:$BN$9,1),FALSE),0)+IFERROR(VLOOKUP($B18,'RA10-Codisposal Slopes'!$A$11:$BN$18,MATCH(Summary!BK$1,'RA10-Codisposal Slopes'!$A$9:$BN$9,1),FALSE),0)+IFERROR(VLOOKUP($B18,'IA1-Final Void inc Ramps'!$A$11:$BN$18,MATCH(Summary!BK$1,'IA1-Final Void inc Ramps'!$A$9:$BN$9,1),FALSE),0)</f>
        <v>1331.3100000000002</v>
      </c>
      <c r="BL18" s="51">
        <f>IFERROR(VLOOKUP($B18,'RA1- Elevated Dumps Upper'!$A$11:$BN$18,MATCH(Summary!BL$1,'RA1- Elevated Dumps Upper'!$A$9:$BN$9,1),FALSE),0)+IFERROR(VLOOKUP($B18,'RA2-Elevated Dumps Slopes'!$A$11:$BN$18,MATCH(Summary!BL$1,'RA2-Elevated Dumps Slopes'!$A$9:$BN$9,1),FALSE),0)+IFERROR(VLOOKUP($B18,'RA3-Backfilled Pits'!$A$11:$BN$18,MATCH(Summary!BL$1,'RA3-Backfilled Pits'!$A$9:$BN$9,1),FALSE),0)+IFERROR(VLOOKUP($B18,'RA4-Tracks_Roads'!$A$11:$BN$18,MATCH(Summary!BL$1,'RA4-Tracks_Roads'!$A$9:$BN$9,1),FALSE),0)+IFERROR(VLOOKUP($B18,'RA5-ROM'!$A$11:$BN$18,MATCH(Summary!BL$1,'RA5-ROM'!$A$9:$BN$9,1),FALSE),0)+IFERROR(VLOOKUP($B18,'RA6-CHPP'!$A$11:$BN$18,MATCH(Summary!BL$1,'RA6-CHPP'!$A$9:$BN$9,1),FALSE),0)+IFERROR(VLOOKUP($B18,'RA7-Mine Infrastructure Area'!$A$11:$BN$18,MATCH(Summary!BL$1,'RA7-Mine Infrastructure Area'!$A$9:$BN$9,1),FALSE),0)+IFERROR(VLOOKUP($B18,'RA8-Water Management Structures'!$A$11:$BN$18,MATCH(Summary!BL$1,'RA8-Water Management Structures'!$A$9:$BN$9,1),FALSE),0)+IFERROR(VLOOKUP($B18,'RA9-Codisposal Upper'!$A$11:$BN$18,MATCH(Summary!BL$1,'RA9-Codisposal Upper'!$A$9:$BN$9,1),FALSE),0)+IFERROR(VLOOKUP($B18,'RA10-Codisposal Slopes'!$A$11:$BN$18,MATCH(Summary!BL$1,'RA10-Codisposal Slopes'!$A$9:$BN$9,1),FALSE),0)+IFERROR(VLOOKUP($B18,'IA1-Final Void inc Ramps'!$A$11:$BN$18,MATCH(Summary!BL$1,'IA1-Final Void inc Ramps'!$A$9:$BN$9,1),FALSE),0)</f>
        <v>1331.3100000000002</v>
      </c>
      <c r="BM18" s="51">
        <f>IFERROR(VLOOKUP($B18,'RA1- Elevated Dumps Upper'!$A$11:$BN$18,MATCH(Summary!BM$1,'RA1- Elevated Dumps Upper'!$A$9:$BN$9,1),FALSE),0)+IFERROR(VLOOKUP($B18,'RA2-Elevated Dumps Slopes'!$A$11:$BN$18,MATCH(Summary!BM$1,'RA2-Elevated Dumps Slopes'!$A$9:$BN$9,1),FALSE),0)+IFERROR(VLOOKUP($B18,'RA3-Backfilled Pits'!$A$11:$BN$18,MATCH(Summary!BM$1,'RA3-Backfilled Pits'!$A$9:$BN$9,1),FALSE),0)+IFERROR(VLOOKUP($B18,'RA4-Tracks_Roads'!$A$11:$BN$18,MATCH(Summary!BM$1,'RA4-Tracks_Roads'!$A$9:$BN$9,1),FALSE),0)+IFERROR(VLOOKUP($B18,'RA5-ROM'!$A$11:$BN$18,MATCH(Summary!BM$1,'RA5-ROM'!$A$9:$BN$9,1),FALSE),0)+IFERROR(VLOOKUP($B18,'RA6-CHPP'!$A$11:$BN$18,MATCH(Summary!BM$1,'RA6-CHPP'!$A$9:$BN$9,1),FALSE),0)+IFERROR(VLOOKUP($B18,'RA7-Mine Infrastructure Area'!$A$11:$BN$18,MATCH(Summary!BM$1,'RA7-Mine Infrastructure Area'!$A$9:$BN$9,1),FALSE),0)+IFERROR(VLOOKUP($B18,'RA8-Water Management Structures'!$A$11:$BN$18,MATCH(Summary!BM$1,'RA8-Water Management Structures'!$A$9:$BN$9,1),FALSE),0)+IFERROR(VLOOKUP($B18,'RA9-Codisposal Upper'!$A$11:$BN$18,MATCH(Summary!BM$1,'RA9-Codisposal Upper'!$A$9:$BN$9,1),FALSE),0)+IFERROR(VLOOKUP($B18,'RA10-Codisposal Slopes'!$A$11:$BN$18,MATCH(Summary!BM$1,'RA10-Codisposal Slopes'!$A$9:$BN$9,1),FALSE),0)+IFERROR(VLOOKUP($B18,'IA1-Final Void inc Ramps'!$A$11:$BN$18,MATCH(Summary!BM$1,'IA1-Final Void inc Ramps'!$A$9:$BN$9,1),FALSE),0)</f>
        <v>1331.3100000000002</v>
      </c>
      <c r="BN18" s="51">
        <f>IFERROR(VLOOKUP($B18,'RA1- Elevated Dumps Upper'!$A$11:$BN$18,MATCH(Summary!BN$1,'RA1- Elevated Dumps Upper'!$A$9:$BN$9,1),FALSE),0)+IFERROR(VLOOKUP($B18,'RA2-Elevated Dumps Slopes'!$A$11:$BN$18,MATCH(Summary!BN$1,'RA2-Elevated Dumps Slopes'!$A$9:$BN$9,1),FALSE),0)+IFERROR(VLOOKUP($B18,'RA3-Backfilled Pits'!$A$11:$BN$18,MATCH(Summary!BN$1,'RA3-Backfilled Pits'!$A$9:$BN$9,1),FALSE),0)+IFERROR(VLOOKUP($B18,'RA4-Tracks_Roads'!$A$11:$BN$18,MATCH(Summary!BN$1,'RA4-Tracks_Roads'!$A$9:$BN$9,1),FALSE),0)+IFERROR(VLOOKUP($B18,'RA5-ROM'!$A$11:$BN$18,MATCH(Summary!BN$1,'RA5-ROM'!$A$9:$BN$9,1),FALSE),0)+IFERROR(VLOOKUP($B18,'RA6-CHPP'!$A$11:$BN$18,MATCH(Summary!BN$1,'RA6-CHPP'!$A$9:$BN$9,1),FALSE),0)+IFERROR(VLOOKUP($B18,'RA7-Mine Infrastructure Area'!$A$11:$BN$18,MATCH(Summary!BN$1,'RA7-Mine Infrastructure Area'!$A$9:$BN$9,1),FALSE),0)+IFERROR(VLOOKUP($B18,'RA8-Water Management Structures'!$A$11:$BN$18,MATCH(Summary!BN$1,'RA8-Water Management Structures'!$A$9:$BN$9,1),FALSE),0)+IFERROR(VLOOKUP($B18,'RA9-Codisposal Upper'!$A$11:$BN$18,MATCH(Summary!BN$1,'RA9-Codisposal Upper'!$A$9:$BN$9,1),FALSE),0)+IFERROR(VLOOKUP($B18,'RA10-Codisposal Slopes'!$A$11:$BN$18,MATCH(Summary!BN$1,'RA10-Codisposal Slopes'!$A$9:$BN$9,1),FALSE),0)+IFERROR(VLOOKUP($B18,'IA1-Final Void inc Ramps'!$A$11:$BN$18,MATCH(Summary!BN$1,'IA1-Final Void inc Ramps'!$A$9:$BN$9,1),FALSE),0)</f>
        <v>1331.3100000000002</v>
      </c>
    </row>
    <row r="19" spans="1:66" x14ac:dyDescent="0.35">
      <c r="B19" t="s">
        <v>12</v>
      </c>
      <c r="D19" s="51">
        <f>IFERROR(VLOOKUP($B19,'RA1- Elevated Dumps Upper'!$A$11:$BN$18,MATCH(Summary!D$1,'RA1- Elevated Dumps Upper'!$A$9:$BN$9,1),FALSE),0)+IFERROR(VLOOKUP($B19,'RA2-Elevated Dumps Slopes'!$A$11:$BN$18,MATCH(Summary!D$1,'RA2-Elevated Dumps Slopes'!$A$9:$BN$9,1),FALSE),0)+IFERROR(VLOOKUP($B19,'RA3-Backfilled Pits'!$A$11:$BN$18,MATCH(Summary!D$1,'RA3-Backfilled Pits'!$A$9:$BN$9,1),FALSE),0)+IFERROR(VLOOKUP($B19,'RA4-Tracks_Roads'!$A$11:$BN$18,MATCH(Summary!D$1,'RA4-Tracks_Roads'!$A$9:$BN$9,1),FALSE),0)+IFERROR(VLOOKUP($B19,'RA5-ROM'!$A$11:$BN$18,MATCH(Summary!D$1,'RA5-ROM'!$A$9:$BN$9,1),FALSE),0)+IFERROR(VLOOKUP($B19,'RA6-CHPP'!$A$11:$BN$18,MATCH(Summary!D$1,'RA6-CHPP'!$A$9:$BN$9,1),FALSE),0)+IFERROR(VLOOKUP($B19,'RA7-Mine Infrastructure Area'!$A$11:$BN$18,MATCH(Summary!D$1,'RA7-Mine Infrastructure Area'!$A$9:$BN$9,1),FALSE),0)+IFERROR(VLOOKUP($B19,'RA8-Water Management Structures'!$A$11:$BN$18,MATCH(Summary!D$1,'RA8-Water Management Structures'!$A$9:$BN$9,1),FALSE),0)+IFERROR(VLOOKUP($B19,'RA9-Codisposal Upper'!$A$11:$BN$18,MATCH(Summary!D$1,'RA9-Codisposal Upper'!$A$9:$BN$9,1),FALSE),0)+IFERROR(VLOOKUP($B19,'RA10-Codisposal Slopes'!$A$11:$BN$18,MATCH(Summary!D$1,'RA10-Codisposal Slopes'!$A$9:$BN$9,1),FALSE),0)+IFERROR(VLOOKUP($B19,'IA1-Final Void inc Ramps'!$A$11:$BN$18,MATCH(Summary!D$1,'IA1-Final Void inc Ramps'!$A$9:$BN$9,1),FALSE),0)</f>
        <v>0</v>
      </c>
      <c r="E19" s="51">
        <f>IFERROR(VLOOKUP($B19,'RA1- Elevated Dumps Upper'!$A$11:$BN$18,MATCH(Summary!E$1,'RA1- Elevated Dumps Upper'!$A$9:$BN$9,1),FALSE),0)+IFERROR(VLOOKUP($B19,'RA2-Elevated Dumps Slopes'!$A$11:$BN$18,MATCH(Summary!E$1,'RA2-Elevated Dumps Slopes'!$A$9:$BN$9,1),FALSE),0)+IFERROR(VLOOKUP($B19,'RA3-Backfilled Pits'!$A$11:$BN$18,MATCH(Summary!E$1,'RA3-Backfilled Pits'!$A$9:$BN$9,1),FALSE),0)+IFERROR(VLOOKUP($B19,'RA4-Tracks_Roads'!$A$11:$BN$18,MATCH(Summary!E$1,'RA4-Tracks_Roads'!$A$9:$BN$9,1),FALSE),0)+IFERROR(VLOOKUP($B19,'RA5-ROM'!$A$11:$BN$18,MATCH(Summary!E$1,'RA5-ROM'!$A$9:$BN$9,1),FALSE),0)+IFERROR(VLOOKUP($B19,'RA6-CHPP'!$A$11:$BN$18,MATCH(Summary!E$1,'RA6-CHPP'!$A$9:$BN$9,1),FALSE),0)+IFERROR(VLOOKUP($B19,'RA7-Mine Infrastructure Area'!$A$11:$BN$18,MATCH(Summary!E$1,'RA7-Mine Infrastructure Area'!$A$9:$BN$9,1),FALSE),0)+IFERROR(VLOOKUP($B19,'RA8-Water Management Structures'!$A$11:$BN$18,MATCH(Summary!E$1,'RA8-Water Management Structures'!$A$9:$BN$9,1),FALSE),0)+IFERROR(VLOOKUP($B19,'RA9-Codisposal Upper'!$A$11:$BN$18,MATCH(Summary!E$1,'RA9-Codisposal Upper'!$A$9:$BN$9,1),FALSE),0)+IFERROR(VLOOKUP($B19,'RA10-Codisposal Slopes'!$A$11:$BN$18,MATCH(Summary!E$1,'RA10-Codisposal Slopes'!$A$9:$BN$9,1),FALSE),0)+IFERROR(VLOOKUP($B19,'IA1-Final Void inc Ramps'!$A$11:$BN$18,MATCH(Summary!E$1,'IA1-Final Void inc Ramps'!$A$9:$BN$9,1),FALSE),0)</f>
        <v>0</v>
      </c>
      <c r="F19" s="51">
        <f>IFERROR(VLOOKUP($B19,'RA1- Elevated Dumps Upper'!$A$11:$BN$18,MATCH(Summary!F$1,'RA1- Elevated Dumps Upper'!$A$9:$BN$9,1),FALSE),0)+IFERROR(VLOOKUP($B19,'RA2-Elevated Dumps Slopes'!$A$11:$BN$18,MATCH(Summary!F$1,'RA2-Elevated Dumps Slopes'!$A$9:$BN$9,1),FALSE),0)+IFERROR(VLOOKUP($B19,'RA3-Backfilled Pits'!$A$11:$BN$18,MATCH(Summary!F$1,'RA3-Backfilled Pits'!$A$9:$BN$9,1),FALSE),0)+IFERROR(VLOOKUP($B19,'RA4-Tracks_Roads'!$A$11:$BN$18,MATCH(Summary!F$1,'RA4-Tracks_Roads'!$A$9:$BN$9,1),FALSE),0)+IFERROR(VLOOKUP($B19,'RA5-ROM'!$A$11:$BN$18,MATCH(Summary!F$1,'RA5-ROM'!$A$9:$BN$9,1),FALSE),0)+IFERROR(VLOOKUP($B19,'RA6-CHPP'!$A$11:$BN$18,MATCH(Summary!F$1,'RA6-CHPP'!$A$9:$BN$9,1),FALSE),0)+IFERROR(VLOOKUP($B19,'RA7-Mine Infrastructure Area'!$A$11:$BN$18,MATCH(Summary!F$1,'RA7-Mine Infrastructure Area'!$A$9:$BN$9,1),FALSE),0)+IFERROR(VLOOKUP($B19,'RA8-Water Management Structures'!$A$11:$BN$18,MATCH(Summary!F$1,'RA8-Water Management Structures'!$A$9:$BN$9,1),FALSE),0)+IFERROR(VLOOKUP($B19,'RA9-Codisposal Upper'!$A$11:$BN$18,MATCH(Summary!F$1,'RA9-Codisposal Upper'!$A$9:$BN$9,1),FALSE),0)+IFERROR(VLOOKUP($B19,'RA10-Codisposal Slopes'!$A$11:$BN$18,MATCH(Summary!F$1,'RA10-Codisposal Slopes'!$A$9:$BN$9,1),FALSE),0)+IFERROR(VLOOKUP($B19,'IA1-Final Void inc Ramps'!$A$11:$BN$18,MATCH(Summary!F$1,'IA1-Final Void inc Ramps'!$A$9:$BN$9,1),FALSE),0)</f>
        <v>0</v>
      </c>
      <c r="G19" s="51">
        <f>IFERROR(VLOOKUP($B19,'RA1- Elevated Dumps Upper'!$A$11:$BN$18,MATCH(Summary!G$1,'RA1- Elevated Dumps Upper'!$A$9:$BN$9,1),FALSE),0)+IFERROR(VLOOKUP($B19,'RA2-Elevated Dumps Slopes'!$A$11:$BN$18,MATCH(Summary!G$1,'RA2-Elevated Dumps Slopes'!$A$9:$BN$9,1),FALSE),0)+IFERROR(VLOOKUP($B19,'RA3-Backfilled Pits'!$A$11:$BN$18,MATCH(Summary!G$1,'RA3-Backfilled Pits'!$A$9:$BN$9,1),FALSE),0)+IFERROR(VLOOKUP($B19,'RA4-Tracks_Roads'!$A$11:$BN$18,MATCH(Summary!G$1,'RA4-Tracks_Roads'!$A$9:$BN$9,1),FALSE),0)+IFERROR(VLOOKUP($B19,'RA5-ROM'!$A$11:$BN$18,MATCH(Summary!G$1,'RA5-ROM'!$A$9:$BN$9,1),FALSE),0)+IFERROR(VLOOKUP($B19,'RA6-CHPP'!$A$11:$BN$18,MATCH(Summary!G$1,'RA6-CHPP'!$A$9:$BN$9,1),FALSE),0)+IFERROR(VLOOKUP($B19,'RA7-Mine Infrastructure Area'!$A$11:$BN$18,MATCH(Summary!G$1,'RA7-Mine Infrastructure Area'!$A$9:$BN$9,1),FALSE),0)+IFERROR(VLOOKUP($B19,'RA8-Water Management Structures'!$A$11:$BN$18,MATCH(Summary!G$1,'RA8-Water Management Structures'!$A$9:$BN$9,1),FALSE),0)+IFERROR(VLOOKUP($B19,'RA9-Codisposal Upper'!$A$11:$BN$18,MATCH(Summary!G$1,'RA9-Codisposal Upper'!$A$9:$BN$9,1),FALSE),0)+IFERROR(VLOOKUP($B19,'RA10-Codisposal Slopes'!$A$11:$BN$18,MATCH(Summary!G$1,'RA10-Codisposal Slopes'!$A$9:$BN$9,1),FALSE),0)+IFERROR(VLOOKUP($B19,'IA1-Final Void inc Ramps'!$A$11:$BN$18,MATCH(Summary!G$1,'IA1-Final Void inc Ramps'!$A$9:$BN$9,1),FALSE),0)</f>
        <v>0</v>
      </c>
      <c r="H19" s="51">
        <f>IFERROR(VLOOKUP($B19,'RA1- Elevated Dumps Upper'!$A$11:$BN$18,MATCH(Summary!H$1,'RA1- Elevated Dumps Upper'!$A$9:$BN$9,1),FALSE),0)+IFERROR(VLOOKUP($B19,'RA2-Elevated Dumps Slopes'!$A$11:$BN$18,MATCH(Summary!H$1,'RA2-Elevated Dumps Slopes'!$A$9:$BN$9,1),FALSE),0)+IFERROR(VLOOKUP($B19,'RA3-Backfilled Pits'!$A$11:$BN$18,MATCH(Summary!H$1,'RA3-Backfilled Pits'!$A$9:$BN$9,1),FALSE),0)+IFERROR(VLOOKUP($B19,'RA4-Tracks_Roads'!$A$11:$BN$18,MATCH(Summary!H$1,'RA4-Tracks_Roads'!$A$9:$BN$9,1),FALSE),0)+IFERROR(VLOOKUP($B19,'RA5-ROM'!$A$11:$BN$18,MATCH(Summary!H$1,'RA5-ROM'!$A$9:$BN$9,1),FALSE),0)+IFERROR(VLOOKUP($B19,'RA6-CHPP'!$A$11:$BN$18,MATCH(Summary!H$1,'RA6-CHPP'!$A$9:$BN$9,1),FALSE),0)+IFERROR(VLOOKUP($B19,'RA7-Mine Infrastructure Area'!$A$11:$BN$18,MATCH(Summary!H$1,'RA7-Mine Infrastructure Area'!$A$9:$BN$9,1),FALSE),0)+IFERROR(VLOOKUP($B19,'RA8-Water Management Structures'!$A$11:$BN$18,MATCH(Summary!H$1,'RA8-Water Management Structures'!$A$9:$BN$9,1),FALSE),0)+IFERROR(VLOOKUP($B19,'RA9-Codisposal Upper'!$A$11:$BN$18,MATCH(Summary!H$1,'RA9-Codisposal Upper'!$A$9:$BN$9,1),FALSE),0)+IFERROR(VLOOKUP($B19,'RA10-Codisposal Slopes'!$A$11:$BN$18,MATCH(Summary!H$1,'RA10-Codisposal Slopes'!$A$9:$BN$9,1),FALSE),0)+IFERROR(VLOOKUP($B19,'IA1-Final Void inc Ramps'!$A$11:$BN$18,MATCH(Summary!H$1,'IA1-Final Void inc Ramps'!$A$9:$BN$9,1),FALSE),0)</f>
        <v>0</v>
      </c>
      <c r="I19" s="51">
        <f>IFERROR(VLOOKUP($B19,'RA1- Elevated Dumps Upper'!$A$11:$BN$18,MATCH(Summary!I$1,'RA1- Elevated Dumps Upper'!$A$9:$BN$9,1),FALSE),0)+IFERROR(VLOOKUP($B19,'RA2-Elevated Dumps Slopes'!$A$11:$BN$18,MATCH(Summary!I$1,'RA2-Elevated Dumps Slopes'!$A$9:$BN$9,1),FALSE),0)+IFERROR(VLOOKUP($B19,'RA3-Backfilled Pits'!$A$11:$BN$18,MATCH(Summary!I$1,'RA3-Backfilled Pits'!$A$9:$BN$9,1),FALSE),0)+IFERROR(VLOOKUP($B19,'RA4-Tracks_Roads'!$A$11:$BN$18,MATCH(Summary!I$1,'RA4-Tracks_Roads'!$A$9:$BN$9,1),FALSE),0)+IFERROR(VLOOKUP($B19,'RA5-ROM'!$A$11:$BN$18,MATCH(Summary!I$1,'RA5-ROM'!$A$9:$BN$9,1),FALSE),0)+IFERROR(VLOOKUP($B19,'RA6-CHPP'!$A$11:$BN$18,MATCH(Summary!I$1,'RA6-CHPP'!$A$9:$BN$9,1),FALSE),0)+IFERROR(VLOOKUP($B19,'RA7-Mine Infrastructure Area'!$A$11:$BN$18,MATCH(Summary!I$1,'RA7-Mine Infrastructure Area'!$A$9:$BN$9,1),FALSE),0)+IFERROR(VLOOKUP($B19,'RA8-Water Management Structures'!$A$11:$BN$18,MATCH(Summary!I$1,'RA8-Water Management Structures'!$A$9:$BN$9,1),FALSE),0)+IFERROR(VLOOKUP($B19,'RA9-Codisposal Upper'!$A$11:$BN$18,MATCH(Summary!I$1,'RA9-Codisposal Upper'!$A$9:$BN$9,1),FALSE),0)+IFERROR(VLOOKUP($B19,'RA10-Codisposal Slopes'!$A$11:$BN$18,MATCH(Summary!I$1,'RA10-Codisposal Slopes'!$A$9:$BN$9,1),FALSE),0)+IFERROR(VLOOKUP($B19,'IA1-Final Void inc Ramps'!$A$11:$BN$18,MATCH(Summary!I$1,'IA1-Final Void inc Ramps'!$A$9:$BN$9,1),FALSE),0)</f>
        <v>0</v>
      </c>
      <c r="J19" s="51">
        <f>IFERROR(VLOOKUP($B19,'RA1- Elevated Dumps Upper'!$A$11:$BN$18,MATCH(Summary!J$1,'RA1- Elevated Dumps Upper'!$A$9:$BN$9,1),FALSE),0)+IFERROR(VLOOKUP($B19,'RA2-Elevated Dumps Slopes'!$A$11:$BN$18,MATCH(Summary!J$1,'RA2-Elevated Dumps Slopes'!$A$9:$BN$9,1),FALSE),0)+IFERROR(VLOOKUP($B19,'RA3-Backfilled Pits'!$A$11:$BN$18,MATCH(Summary!J$1,'RA3-Backfilled Pits'!$A$9:$BN$9,1),FALSE),0)+IFERROR(VLOOKUP($B19,'RA4-Tracks_Roads'!$A$11:$BN$18,MATCH(Summary!J$1,'RA4-Tracks_Roads'!$A$9:$BN$9,1),FALSE),0)+IFERROR(VLOOKUP($B19,'RA5-ROM'!$A$11:$BN$18,MATCH(Summary!J$1,'RA5-ROM'!$A$9:$BN$9,1),FALSE),0)+IFERROR(VLOOKUP($B19,'RA6-CHPP'!$A$11:$BN$18,MATCH(Summary!J$1,'RA6-CHPP'!$A$9:$BN$9,1),FALSE),0)+IFERROR(VLOOKUP($B19,'RA7-Mine Infrastructure Area'!$A$11:$BN$18,MATCH(Summary!J$1,'RA7-Mine Infrastructure Area'!$A$9:$BN$9,1),FALSE),0)+IFERROR(VLOOKUP($B19,'RA8-Water Management Structures'!$A$11:$BN$18,MATCH(Summary!J$1,'RA8-Water Management Structures'!$A$9:$BN$9,1),FALSE),0)+IFERROR(VLOOKUP($B19,'RA9-Codisposal Upper'!$A$11:$BN$18,MATCH(Summary!J$1,'RA9-Codisposal Upper'!$A$9:$BN$9,1),FALSE),0)+IFERROR(VLOOKUP($B19,'RA10-Codisposal Slopes'!$A$11:$BN$18,MATCH(Summary!J$1,'RA10-Codisposal Slopes'!$A$9:$BN$9,1),FALSE),0)+IFERROR(VLOOKUP($B19,'IA1-Final Void inc Ramps'!$A$11:$BN$18,MATCH(Summary!J$1,'IA1-Final Void inc Ramps'!$A$9:$BN$9,1),FALSE),0)</f>
        <v>0</v>
      </c>
      <c r="K19" s="51">
        <f>IFERROR(VLOOKUP($B19,'RA1- Elevated Dumps Upper'!$A$11:$BN$18,MATCH(Summary!K$1,'RA1- Elevated Dumps Upper'!$A$9:$BN$9,1),FALSE),0)+IFERROR(VLOOKUP($B19,'RA2-Elevated Dumps Slopes'!$A$11:$BN$18,MATCH(Summary!K$1,'RA2-Elevated Dumps Slopes'!$A$9:$BN$9,1),FALSE),0)+IFERROR(VLOOKUP($B19,'RA3-Backfilled Pits'!$A$11:$BN$18,MATCH(Summary!K$1,'RA3-Backfilled Pits'!$A$9:$BN$9,1),FALSE),0)+IFERROR(VLOOKUP($B19,'RA4-Tracks_Roads'!$A$11:$BN$18,MATCH(Summary!K$1,'RA4-Tracks_Roads'!$A$9:$BN$9,1),FALSE),0)+IFERROR(VLOOKUP($B19,'RA5-ROM'!$A$11:$BN$18,MATCH(Summary!K$1,'RA5-ROM'!$A$9:$BN$9,1),FALSE),0)+IFERROR(VLOOKUP($B19,'RA6-CHPP'!$A$11:$BN$18,MATCH(Summary!K$1,'RA6-CHPP'!$A$9:$BN$9,1),FALSE),0)+IFERROR(VLOOKUP($B19,'RA7-Mine Infrastructure Area'!$A$11:$BN$18,MATCH(Summary!K$1,'RA7-Mine Infrastructure Area'!$A$9:$BN$9,1),FALSE),0)+IFERROR(VLOOKUP($B19,'RA8-Water Management Structures'!$A$11:$BN$18,MATCH(Summary!K$1,'RA8-Water Management Structures'!$A$9:$BN$9,1),FALSE),0)+IFERROR(VLOOKUP($B19,'RA9-Codisposal Upper'!$A$11:$BN$18,MATCH(Summary!K$1,'RA9-Codisposal Upper'!$A$9:$BN$9,1),FALSE),0)+IFERROR(VLOOKUP($B19,'RA10-Codisposal Slopes'!$A$11:$BN$18,MATCH(Summary!K$1,'RA10-Codisposal Slopes'!$A$9:$BN$9,1),FALSE),0)+IFERROR(VLOOKUP($B19,'IA1-Final Void inc Ramps'!$A$11:$BN$18,MATCH(Summary!K$1,'IA1-Final Void inc Ramps'!$A$9:$BN$9,1),FALSE),0)</f>
        <v>0</v>
      </c>
      <c r="L19" s="51">
        <f>IFERROR(VLOOKUP($B19,'RA1- Elevated Dumps Upper'!$A$11:$BN$18,MATCH(Summary!L$1,'RA1- Elevated Dumps Upper'!$A$9:$BN$9,1),FALSE),0)+IFERROR(VLOOKUP($B19,'RA2-Elevated Dumps Slopes'!$A$11:$BN$18,MATCH(Summary!L$1,'RA2-Elevated Dumps Slopes'!$A$9:$BN$9,1),FALSE),0)+IFERROR(VLOOKUP($B19,'RA3-Backfilled Pits'!$A$11:$BN$18,MATCH(Summary!L$1,'RA3-Backfilled Pits'!$A$9:$BN$9,1),FALSE),0)+IFERROR(VLOOKUP($B19,'RA4-Tracks_Roads'!$A$11:$BN$18,MATCH(Summary!L$1,'RA4-Tracks_Roads'!$A$9:$BN$9,1),FALSE),0)+IFERROR(VLOOKUP($B19,'RA5-ROM'!$A$11:$BN$18,MATCH(Summary!L$1,'RA5-ROM'!$A$9:$BN$9,1),FALSE),0)+IFERROR(VLOOKUP($B19,'RA6-CHPP'!$A$11:$BN$18,MATCH(Summary!L$1,'RA6-CHPP'!$A$9:$BN$9,1),FALSE),0)+IFERROR(VLOOKUP($B19,'RA7-Mine Infrastructure Area'!$A$11:$BN$18,MATCH(Summary!L$1,'RA7-Mine Infrastructure Area'!$A$9:$BN$9,1),FALSE),0)+IFERROR(VLOOKUP($B19,'RA8-Water Management Structures'!$A$11:$BN$18,MATCH(Summary!L$1,'RA8-Water Management Structures'!$A$9:$BN$9,1),FALSE),0)+IFERROR(VLOOKUP($B19,'RA9-Codisposal Upper'!$A$11:$BN$18,MATCH(Summary!L$1,'RA9-Codisposal Upper'!$A$9:$BN$9,1),FALSE),0)+IFERROR(VLOOKUP($B19,'RA10-Codisposal Slopes'!$A$11:$BN$18,MATCH(Summary!L$1,'RA10-Codisposal Slopes'!$A$9:$BN$9,1),FALSE),0)+IFERROR(VLOOKUP($B19,'IA1-Final Void inc Ramps'!$A$11:$BN$18,MATCH(Summary!L$1,'IA1-Final Void inc Ramps'!$A$9:$BN$9,1),FALSE),0)</f>
        <v>0</v>
      </c>
      <c r="M19" s="51">
        <f>IFERROR(VLOOKUP($B19,'RA1- Elevated Dumps Upper'!$A$11:$BN$18,MATCH(Summary!M$1,'RA1- Elevated Dumps Upper'!$A$9:$BN$9,1),FALSE),0)+IFERROR(VLOOKUP($B19,'RA2-Elevated Dumps Slopes'!$A$11:$BN$18,MATCH(Summary!M$1,'RA2-Elevated Dumps Slopes'!$A$9:$BN$9,1),FALSE),0)+IFERROR(VLOOKUP($B19,'RA3-Backfilled Pits'!$A$11:$BN$18,MATCH(Summary!M$1,'RA3-Backfilled Pits'!$A$9:$BN$9,1),FALSE),0)+IFERROR(VLOOKUP($B19,'RA4-Tracks_Roads'!$A$11:$BN$18,MATCH(Summary!M$1,'RA4-Tracks_Roads'!$A$9:$BN$9,1),FALSE),0)+IFERROR(VLOOKUP($B19,'RA5-ROM'!$A$11:$BN$18,MATCH(Summary!M$1,'RA5-ROM'!$A$9:$BN$9,1),FALSE),0)+IFERROR(VLOOKUP($B19,'RA6-CHPP'!$A$11:$BN$18,MATCH(Summary!M$1,'RA6-CHPP'!$A$9:$BN$9,1),FALSE),0)+IFERROR(VLOOKUP($B19,'RA7-Mine Infrastructure Area'!$A$11:$BN$18,MATCH(Summary!M$1,'RA7-Mine Infrastructure Area'!$A$9:$BN$9,1),FALSE),0)+IFERROR(VLOOKUP($B19,'RA8-Water Management Structures'!$A$11:$BN$18,MATCH(Summary!M$1,'RA8-Water Management Structures'!$A$9:$BN$9,1),FALSE),0)+IFERROR(VLOOKUP($B19,'RA9-Codisposal Upper'!$A$11:$BN$18,MATCH(Summary!M$1,'RA9-Codisposal Upper'!$A$9:$BN$9,1),FALSE),0)+IFERROR(VLOOKUP($B19,'RA10-Codisposal Slopes'!$A$11:$BN$18,MATCH(Summary!M$1,'RA10-Codisposal Slopes'!$A$9:$BN$9,1),FALSE),0)+IFERROR(VLOOKUP($B19,'IA1-Final Void inc Ramps'!$A$11:$BN$18,MATCH(Summary!M$1,'IA1-Final Void inc Ramps'!$A$9:$BN$9,1),FALSE),0)</f>
        <v>0</v>
      </c>
      <c r="N19" s="51">
        <f>IFERROR(VLOOKUP($B19,'RA1- Elevated Dumps Upper'!$A$11:$BN$18,MATCH(Summary!N$1,'RA1- Elevated Dumps Upper'!$A$9:$BN$9,1),FALSE),0)+IFERROR(VLOOKUP($B19,'RA2-Elevated Dumps Slopes'!$A$11:$BN$18,MATCH(Summary!N$1,'RA2-Elevated Dumps Slopes'!$A$9:$BN$9,1),FALSE),0)+IFERROR(VLOOKUP($B19,'RA3-Backfilled Pits'!$A$11:$BN$18,MATCH(Summary!N$1,'RA3-Backfilled Pits'!$A$9:$BN$9,1),FALSE),0)+IFERROR(VLOOKUP($B19,'RA4-Tracks_Roads'!$A$11:$BN$18,MATCH(Summary!N$1,'RA4-Tracks_Roads'!$A$9:$BN$9,1),FALSE),0)+IFERROR(VLOOKUP($B19,'RA5-ROM'!$A$11:$BN$18,MATCH(Summary!N$1,'RA5-ROM'!$A$9:$BN$9,1),FALSE),0)+IFERROR(VLOOKUP($B19,'RA6-CHPP'!$A$11:$BN$18,MATCH(Summary!N$1,'RA6-CHPP'!$A$9:$BN$9,1),FALSE),0)+IFERROR(VLOOKUP($B19,'RA7-Mine Infrastructure Area'!$A$11:$BN$18,MATCH(Summary!N$1,'RA7-Mine Infrastructure Area'!$A$9:$BN$9,1),FALSE),0)+IFERROR(VLOOKUP($B19,'RA8-Water Management Structures'!$A$11:$BN$18,MATCH(Summary!N$1,'RA8-Water Management Structures'!$A$9:$BN$9,1),FALSE),0)+IFERROR(VLOOKUP($B19,'RA9-Codisposal Upper'!$A$11:$BN$18,MATCH(Summary!N$1,'RA9-Codisposal Upper'!$A$9:$BN$9,1),FALSE),0)+IFERROR(VLOOKUP($B19,'RA10-Codisposal Slopes'!$A$11:$BN$18,MATCH(Summary!N$1,'RA10-Codisposal Slopes'!$A$9:$BN$9,1),FALSE),0)+IFERROR(VLOOKUP($B19,'IA1-Final Void inc Ramps'!$A$11:$BN$18,MATCH(Summary!N$1,'IA1-Final Void inc Ramps'!$A$9:$BN$9,1),FALSE),0)</f>
        <v>0</v>
      </c>
      <c r="O19" s="51">
        <f>IFERROR(VLOOKUP($B19,'RA1- Elevated Dumps Upper'!$A$11:$BN$18,MATCH(Summary!O$1,'RA1- Elevated Dumps Upper'!$A$9:$BN$9,1),FALSE),0)+IFERROR(VLOOKUP($B19,'RA2-Elevated Dumps Slopes'!$A$11:$BN$18,MATCH(Summary!O$1,'RA2-Elevated Dumps Slopes'!$A$9:$BN$9,1),FALSE),0)+IFERROR(VLOOKUP($B19,'RA3-Backfilled Pits'!$A$11:$BN$18,MATCH(Summary!O$1,'RA3-Backfilled Pits'!$A$9:$BN$9,1),FALSE),0)+IFERROR(VLOOKUP($B19,'RA4-Tracks_Roads'!$A$11:$BN$18,MATCH(Summary!O$1,'RA4-Tracks_Roads'!$A$9:$BN$9,1),FALSE),0)+IFERROR(VLOOKUP($B19,'RA5-ROM'!$A$11:$BN$18,MATCH(Summary!O$1,'RA5-ROM'!$A$9:$BN$9,1),FALSE),0)+IFERROR(VLOOKUP($B19,'RA6-CHPP'!$A$11:$BN$18,MATCH(Summary!O$1,'RA6-CHPP'!$A$9:$BN$9,1),FALSE),0)+IFERROR(VLOOKUP($B19,'RA7-Mine Infrastructure Area'!$A$11:$BN$18,MATCH(Summary!O$1,'RA7-Mine Infrastructure Area'!$A$9:$BN$9,1),FALSE),0)+IFERROR(VLOOKUP($B19,'RA8-Water Management Structures'!$A$11:$BN$18,MATCH(Summary!O$1,'RA8-Water Management Structures'!$A$9:$BN$9,1),FALSE),0)+IFERROR(VLOOKUP($B19,'RA9-Codisposal Upper'!$A$11:$BN$18,MATCH(Summary!O$1,'RA9-Codisposal Upper'!$A$9:$BN$9,1),FALSE),0)+IFERROR(VLOOKUP($B19,'RA10-Codisposal Slopes'!$A$11:$BN$18,MATCH(Summary!O$1,'RA10-Codisposal Slopes'!$A$9:$BN$9,1),FALSE),0)+IFERROR(VLOOKUP($B19,'IA1-Final Void inc Ramps'!$A$11:$BN$18,MATCH(Summary!O$1,'IA1-Final Void inc Ramps'!$A$9:$BN$9,1),FALSE),0)</f>
        <v>0</v>
      </c>
      <c r="P19" s="51">
        <f>IFERROR(VLOOKUP($B19,'RA1- Elevated Dumps Upper'!$A$11:$BN$18,MATCH(Summary!P$1,'RA1- Elevated Dumps Upper'!$A$9:$BN$9,1),FALSE),0)+IFERROR(VLOOKUP($B19,'RA2-Elevated Dumps Slopes'!$A$11:$BN$18,MATCH(Summary!P$1,'RA2-Elevated Dumps Slopes'!$A$9:$BN$9,1),FALSE),0)+IFERROR(VLOOKUP($B19,'RA3-Backfilled Pits'!$A$11:$BN$18,MATCH(Summary!P$1,'RA3-Backfilled Pits'!$A$9:$BN$9,1),FALSE),0)+IFERROR(VLOOKUP($B19,'RA4-Tracks_Roads'!$A$11:$BN$18,MATCH(Summary!P$1,'RA4-Tracks_Roads'!$A$9:$BN$9,1),FALSE),0)+IFERROR(VLOOKUP($B19,'RA5-ROM'!$A$11:$BN$18,MATCH(Summary!P$1,'RA5-ROM'!$A$9:$BN$9,1),FALSE),0)+IFERROR(VLOOKUP($B19,'RA6-CHPP'!$A$11:$BN$18,MATCH(Summary!P$1,'RA6-CHPP'!$A$9:$BN$9,1),FALSE),0)+IFERROR(VLOOKUP($B19,'RA7-Mine Infrastructure Area'!$A$11:$BN$18,MATCH(Summary!P$1,'RA7-Mine Infrastructure Area'!$A$9:$BN$9,1),FALSE),0)+IFERROR(VLOOKUP($B19,'RA8-Water Management Structures'!$A$11:$BN$18,MATCH(Summary!P$1,'RA8-Water Management Structures'!$A$9:$BN$9,1),FALSE),0)+IFERROR(VLOOKUP($B19,'RA9-Codisposal Upper'!$A$11:$BN$18,MATCH(Summary!P$1,'RA9-Codisposal Upper'!$A$9:$BN$9,1),FALSE),0)+IFERROR(VLOOKUP($B19,'RA10-Codisposal Slopes'!$A$11:$BN$18,MATCH(Summary!P$1,'RA10-Codisposal Slopes'!$A$9:$BN$9,1),FALSE),0)+IFERROR(VLOOKUP($B19,'IA1-Final Void inc Ramps'!$A$11:$BN$18,MATCH(Summary!P$1,'IA1-Final Void inc Ramps'!$A$9:$BN$9,1),FALSE),0)</f>
        <v>0</v>
      </c>
      <c r="Q19" s="51">
        <f>IFERROR(VLOOKUP($B19,'RA1- Elevated Dumps Upper'!$A$11:$BN$18,MATCH(Summary!Q$1,'RA1- Elevated Dumps Upper'!$A$9:$BN$9,1),FALSE),0)+IFERROR(VLOOKUP($B19,'RA2-Elevated Dumps Slopes'!$A$11:$BN$18,MATCH(Summary!Q$1,'RA2-Elevated Dumps Slopes'!$A$9:$BN$9,1),FALSE),0)+IFERROR(VLOOKUP($B19,'RA3-Backfilled Pits'!$A$11:$BN$18,MATCH(Summary!Q$1,'RA3-Backfilled Pits'!$A$9:$BN$9,1),FALSE),0)+IFERROR(VLOOKUP($B19,'RA4-Tracks_Roads'!$A$11:$BN$18,MATCH(Summary!Q$1,'RA4-Tracks_Roads'!$A$9:$BN$9,1),FALSE),0)+IFERROR(VLOOKUP($B19,'RA5-ROM'!$A$11:$BN$18,MATCH(Summary!Q$1,'RA5-ROM'!$A$9:$BN$9,1),FALSE),0)+IFERROR(VLOOKUP($B19,'RA6-CHPP'!$A$11:$BN$18,MATCH(Summary!Q$1,'RA6-CHPP'!$A$9:$BN$9,1),FALSE),0)+IFERROR(VLOOKUP($B19,'RA7-Mine Infrastructure Area'!$A$11:$BN$18,MATCH(Summary!Q$1,'RA7-Mine Infrastructure Area'!$A$9:$BN$9,1),FALSE),0)+IFERROR(VLOOKUP($B19,'RA8-Water Management Structures'!$A$11:$BN$18,MATCH(Summary!Q$1,'RA8-Water Management Structures'!$A$9:$BN$9,1),FALSE),0)+IFERROR(VLOOKUP($B19,'RA9-Codisposal Upper'!$A$11:$BN$18,MATCH(Summary!Q$1,'RA9-Codisposal Upper'!$A$9:$BN$9,1),FALSE),0)+IFERROR(VLOOKUP($B19,'RA10-Codisposal Slopes'!$A$11:$BN$18,MATCH(Summary!Q$1,'RA10-Codisposal Slopes'!$A$9:$BN$9,1),FALSE),0)+IFERROR(VLOOKUP($B19,'IA1-Final Void inc Ramps'!$A$11:$BN$18,MATCH(Summary!Q$1,'IA1-Final Void inc Ramps'!$A$9:$BN$9,1),FALSE),0)</f>
        <v>0</v>
      </c>
      <c r="R19" s="51">
        <f>IFERROR(VLOOKUP($B19,'RA1- Elevated Dumps Upper'!$A$11:$BN$18,MATCH(Summary!R$1,'RA1- Elevated Dumps Upper'!$A$9:$BN$9,1),FALSE),0)+IFERROR(VLOOKUP($B19,'RA2-Elevated Dumps Slopes'!$A$11:$BN$18,MATCH(Summary!R$1,'RA2-Elevated Dumps Slopes'!$A$9:$BN$9,1),FALSE),0)+IFERROR(VLOOKUP($B19,'RA3-Backfilled Pits'!$A$11:$BN$18,MATCH(Summary!R$1,'RA3-Backfilled Pits'!$A$9:$BN$9,1),FALSE),0)+IFERROR(VLOOKUP($B19,'RA4-Tracks_Roads'!$A$11:$BN$18,MATCH(Summary!R$1,'RA4-Tracks_Roads'!$A$9:$BN$9,1),FALSE),0)+IFERROR(VLOOKUP($B19,'RA5-ROM'!$A$11:$BN$18,MATCH(Summary!R$1,'RA5-ROM'!$A$9:$BN$9,1),FALSE),0)+IFERROR(VLOOKUP($B19,'RA6-CHPP'!$A$11:$BN$18,MATCH(Summary!R$1,'RA6-CHPP'!$A$9:$BN$9,1),FALSE),0)+IFERROR(VLOOKUP($B19,'RA7-Mine Infrastructure Area'!$A$11:$BN$18,MATCH(Summary!R$1,'RA7-Mine Infrastructure Area'!$A$9:$BN$9,1),FALSE),0)+IFERROR(VLOOKUP($B19,'RA8-Water Management Structures'!$A$11:$BN$18,MATCH(Summary!R$1,'RA8-Water Management Structures'!$A$9:$BN$9,1),FALSE),0)+IFERROR(VLOOKUP($B19,'RA9-Codisposal Upper'!$A$11:$BN$18,MATCH(Summary!R$1,'RA9-Codisposal Upper'!$A$9:$BN$9,1),FALSE),0)+IFERROR(VLOOKUP($B19,'RA10-Codisposal Slopes'!$A$11:$BN$18,MATCH(Summary!R$1,'RA10-Codisposal Slopes'!$A$9:$BN$9,1),FALSE),0)+IFERROR(VLOOKUP($B19,'IA1-Final Void inc Ramps'!$A$11:$BN$18,MATCH(Summary!R$1,'IA1-Final Void inc Ramps'!$A$9:$BN$9,1),FALSE),0)</f>
        <v>0</v>
      </c>
      <c r="S19" s="51">
        <f>IFERROR(VLOOKUP($B19,'RA1- Elevated Dumps Upper'!$A$11:$BN$18,MATCH(Summary!S$1,'RA1- Elevated Dumps Upper'!$A$9:$BN$9,1),FALSE),0)+IFERROR(VLOOKUP($B19,'RA2-Elevated Dumps Slopes'!$A$11:$BN$18,MATCH(Summary!S$1,'RA2-Elevated Dumps Slopes'!$A$9:$BN$9,1),FALSE),0)+IFERROR(VLOOKUP($B19,'RA3-Backfilled Pits'!$A$11:$BN$18,MATCH(Summary!S$1,'RA3-Backfilled Pits'!$A$9:$BN$9,1),FALSE),0)+IFERROR(VLOOKUP($B19,'RA4-Tracks_Roads'!$A$11:$BN$18,MATCH(Summary!S$1,'RA4-Tracks_Roads'!$A$9:$BN$9,1),FALSE),0)+IFERROR(VLOOKUP($B19,'RA5-ROM'!$A$11:$BN$18,MATCH(Summary!S$1,'RA5-ROM'!$A$9:$BN$9,1),FALSE),0)+IFERROR(VLOOKUP($B19,'RA6-CHPP'!$A$11:$BN$18,MATCH(Summary!S$1,'RA6-CHPP'!$A$9:$BN$9,1),FALSE),0)+IFERROR(VLOOKUP($B19,'RA7-Mine Infrastructure Area'!$A$11:$BN$18,MATCH(Summary!S$1,'RA7-Mine Infrastructure Area'!$A$9:$BN$9,1),FALSE),0)+IFERROR(VLOOKUP($B19,'RA8-Water Management Structures'!$A$11:$BN$18,MATCH(Summary!S$1,'RA8-Water Management Structures'!$A$9:$BN$9,1),FALSE),0)+IFERROR(VLOOKUP($B19,'RA9-Codisposal Upper'!$A$11:$BN$18,MATCH(Summary!S$1,'RA9-Codisposal Upper'!$A$9:$BN$9,1),FALSE),0)+IFERROR(VLOOKUP($B19,'RA10-Codisposal Slopes'!$A$11:$BN$18,MATCH(Summary!S$1,'RA10-Codisposal Slopes'!$A$9:$BN$9,1),FALSE),0)+IFERROR(VLOOKUP($B19,'IA1-Final Void inc Ramps'!$A$11:$BN$18,MATCH(Summary!S$1,'IA1-Final Void inc Ramps'!$A$9:$BN$9,1),FALSE),0)</f>
        <v>0</v>
      </c>
      <c r="T19" s="51">
        <f>IFERROR(VLOOKUP($B19,'RA1- Elevated Dumps Upper'!$A$11:$BN$18,MATCH(Summary!T$1,'RA1- Elevated Dumps Upper'!$A$9:$BN$9,1),FALSE),0)+IFERROR(VLOOKUP($B19,'RA2-Elevated Dumps Slopes'!$A$11:$BN$18,MATCH(Summary!T$1,'RA2-Elevated Dumps Slopes'!$A$9:$BN$9,1),FALSE),0)+IFERROR(VLOOKUP($B19,'RA3-Backfilled Pits'!$A$11:$BN$18,MATCH(Summary!T$1,'RA3-Backfilled Pits'!$A$9:$BN$9,1),FALSE),0)+IFERROR(VLOOKUP($B19,'RA4-Tracks_Roads'!$A$11:$BN$18,MATCH(Summary!T$1,'RA4-Tracks_Roads'!$A$9:$BN$9,1),FALSE),0)+IFERROR(VLOOKUP($B19,'RA5-ROM'!$A$11:$BN$18,MATCH(Summary!T$1,'RA5-ROM'!$A$9:$BN$9,1),FALSE),0)+IFERROR(VLOOKUP($B19,'RA6-CHPP'!$A$11:$BN$18,MATCH(Summary!T$1,'RA6-CHPP'!$A$9:$BN$9,1),FALSE),0)+IFERROR(VLOOKUP($B19,'RA7-Mine Infrastructure Area'!$A$11:$BN$18,MATCH(Summary!T$1,'RA7-Mine Infrastructure Area'!$A$9:$BN$9,1),FALSE),0)+IFERROR(VLOOKUP($B19,'RA8-Water Management Structures'!$A$11:$BN$18,MATCH(Summary!T$1,'RA8-Water Management Structures'!$A$9:$BN$9,1),FALSE),0)+IFERROR(VLOOKUP($B19,'RA9-Codisposal Upper'!$A$11:$BN$18,MATCH(Summary!T$1,'RA9-Codisposal Upper'!$A$9:$BN$9,1),FALSE),0)+IFERROR(VLOOKUP($B19,'RA10-Codisposal Slopes'!$A$11:$BN$18,MATCH(Summary!T$1,'RA10-Codisposal Slopes'!$A$9:$BN$9,1),FALSE),0)+IFERROR(VLOOKUP($B19,'IA1-Final Void inc Ramps'!$A$11:$BN$18,MATCH(Summary!T$1,'IA1-Final Void inc Ramps'!$A$9:$BN$9,1),FALSE),0)</f>
        <v>0</v>
      </c>
      <c r="U19" s="51">
        <f>IFERROR(VLOOKUP($B19,'RA1- Elevated Dumps Upper'!$A$11:$BN$18,MATCH(Summary!U$1,'RA1- Elevated Dumps Upper'!$A$9:$BN$9,1),FALSE),0)+IFERROR(VLOOKUP($B19,'RA2-Elevated Dumps Slopes'!$A$11:$BN$18,MATCH(Summary!U$1,'RA2-Elevated Dumps Slopes'!$A$9:$BN$9,1),FALSE),0)+IFERROR(VLOOKUP($B19,'RA3-Backfilled Pits'!$A$11:$BN$18,MATCH(Summary!U$1,'RA3-Backfilled Pits'!$A$9:$BN$9,1),FALSE),0)+IFERROR(VLOOKUP($B19,'RA4-Tracks_Roads'!$A$11:$BN$18,MATCH(Summary!U$1,'RA4-Tracks_Roads'!$A$9:$BN$9,1),FALSE),0)+IFERROR(VLOOKUP($B19,'RA5-ROM'!$A$11:$BN$18,MATCH(Summary!U$1,'RA5-ROM'!$A$9:$BN$9,1),FALSE),0)+IFERROR(VLOOKUP($B19,'RA6-CHPP'!$A$11:$BN$18,MATCH(Summary!U$1,'RA6-CHPP'!$A$9:$BN$9,1),FALSE),0)+IFERROR(VLOOKUP($B19,'RA7-Mine Infrastructure Area'!$A$11:$BN$18,MATCH(Summary!U$1,'RA7-Mine Infrastructure Area'!$A$9:$BN$9,1),FALSE),0)+IFERROR(VLOOKUP($B19,'RA8-Water Management Structures'!$A$11:$BN$18,MATCH(Summary!U$1,'RA8-Water Management Structures'!$A$9:$BN$9,1),FALSE),0)+IFERROR(VLOOKUP($B19,'RA9-Codisposal Upper'!$A$11:$BN$18,MATCH(Summary!U$1,'RA9-Codisposal Upper'!$A$9:$BN$9,1),FALSE),0)+IFERROR(VLOOKUP($B19,'RA10-Codisposal Slopes'!$A$11:$BN$18,MATCH(Summary!U$1,'RA10-Codisposal Slopes'!$A$9:$BN$9,1),FALSE),0)+IFERROR(VLOOKUP($B19,'IA1-Final Void inc Ramps'!$A$11:$BN$18,MATCH(Summary!U$1,'IA1-Final Void inc Ramps'!$A$9:$BN$9,1),FALSE),0)</f>
        <v>0</v>
      </c>
      <c r="V19" s="51">
        <f>IFERROR(VLOOKUP($B19,'RA1- Elevated Dumps Upper'!$A$11:$BN$18,MATCH(Summary!V$1,'RA1- Elevated Dumps Upper'!$A$9:$BN$9,1),FALSE),0)+IFERROR(VLOOKUP($B19,'RA2-Elevated Dumps Slopes'!$A$11:$BN$18,MATCH(Summary!V$1,'RA2-Elevated Dumps Slopes'!$A$9:$BN$9,1),FALSE),0)+IFERROR(VLOOKUP($B19,'RA3-Backfilled Pits'!$A$11:$BN$18,MATCH(Summary!V$1,'RA3-Backfilled Pits'!$A$9:$BN$9,1),FALSE),0)+IFERROR(VLOOKUP($B19,'RA4-Tracks_Roads'!$A$11:$BN$18,MATCH(Summary!V$1,'RA4-Tracks_Roads'!$A$9:$BN$9,1),FALSE),0)+IFERROR(VLOOKUP($B19,'RA5-ROM'!$A$11:$BN$18,MATCH(Summary!V$1,'RA5-ROM'!$A$9:$BN$9,1),FALSE),0)+IFERROR(VLOOKUP($B19,'RA6-CHPP'!$A$11:$BN$18,MATCH(Summary!V$1,'RA6-CHPP'!$A$9:$BN$9,1),FALSE),0)+IFERROR(VLOOKUP($B19,'RA7-Mine Infrastructure Area'!$A$11:$BN$18,MATCH(Summary!V$1,'RA7-Mine Infrastructure Area'!$A$9:$BN$9,1),FALSE),0)+IFERROR(VLOOKUP($B19,'RA8-Water Management Structures'!$A$11:$BN$18,MATCH(Summary!V$1,'RA8-Water Management Structures'!$A$9:$BN$9,1),FALSE),0)+IFERROR(VLOOKUP($B19,'RA9-Codisposal Upper'!$A$11:$BN$18,MATCH(Summary!V$1,'RA9-Codisposal Upper'!$A$9:$BN$9,1),FALSE),0)+IFERROR(VLOOKUP($B19,'RA10-Codisposal Slopes'!$A$11:$BN$18,MATCH(Summary!V$1,'RA10-Codisposal Slopes'!$A$9:$BN$9,1),FALSE),0)+IFERROR(VLOOKUP($B19,'IA1-Final Void inc Ramps'!$A$11:$BN$18,MATCH(Summary!V$1,'IA1-Final Void inc Ramps'!$A$9:$BN$9,1),FALSE),0)</f>
        <v>0</v>
      </c>
      <c r="W19" s="51">
        <f>IFERROR(VLOOKUP($B19,'RA1- Elevated Dumps Upper'!$A$11:$BN$18,MATCH(Summary!W$1,'RA1- Elevated Dumps Upper'!$A$9:$BN$9,1),FALSE),0)+IFERROR(VLOOKUP($B19,'RA2-Elevated Dumps Slopes'!$A$11:$BN$18,MATCH(Summary!W$1,'RA2-Elevated Dumps Slopes'!$A$9:$BN$9,1),FALSE),0)+IFERROR(VLOOKUP($B19,'RA3-Backfilled Pits'!$A$11:$BN$18,MATCH(Summary!W$1,'RA3-Backfilled Pits'!$A$9:$BN$9,1),FALSE),0)+IFERROR(VLOOKUP($B19,'RA4-Tracks_Roads'!$A$11:$BN$18,MATCH(Summary!W$1,'RA4-Tracks_Roads'!$A$9:$BN$9,1),FALSE),0)+IFERROR(VLOOKUP($B19,'RA5-ROM'!$A$11:$BN$18,MATCH(Summary!W$1,'RA5-ROM'!$A$9:$BN$9,1),FALSE),0)+IFERROR(VLOOKUP($B19,'RA6-CHPP'!$A$11:$BN$18,MATCH(Summary!W$1,'RA6-CHPP'!$A$9:$BN$9,1),FALSE),0)+IFERROR(VLOOKUP($B19,'RA7-Mine Infrastructure Area'!$A$11:$BN$18,MATCH(Summary!W$1,'RA7-Mine Infrastructure Area'!$A$9:$BN$9,1),FALSE),0)+IFERROR(VLOOKUP($B19,'RA8-Water Management Structures'!$A$11:$BN$18,MATCH(Summary!W$1,'RA8-Water Management Structures'!$A$9:$BN$9,1),FALSE),0)+IFERROR(VLOOKUP($B19,'RA9-Codisposal Upper'!$A$11:$BN$18,MATCH(Summary!W$1,'RA9-Codisposal Upper'!$A$9:$BN$9,1),FALSE),0)+IFERROR(VLOOKUP($B19,'RA10-Codisposal Slopes'!$A$11:$BN$18,MATCH(Summary!W$1,'RA10-Codisposal Slopes'!$A$9:$BN$9,1),FALSE),0)+IFERROR(VLOOKUP($B19,'IA1-Final Void inc Ramps'!$A$11:$BN$18,MATCH(Summary!W$1,'IA1-Final Void inc Ramps'!$A$9:$BN$9,1),FALSE),0)</f>
        <v>0</v>
      </c>
      <c r="X19" s="51">
        <f>IFERROR(VLOOKUP($B19,'RA1- Elevated Dumps Upper'!$A$11:$BN$18,MATCH(Summary!X$1,'RA1- Elevated Dumps Upper'!$A$9:$BN$9,1),FALSE),0)+IFERROR(VLOOKUP($B19,'RA2-Elevated Dumps Slopes'!$A$11:$BN$18,MATCH(Summary!X$1,'RA2-Elevated Dumps Slopes'!$A$9:$BN$9,1),FALSE),0)+IFERROR(VLOOKUP($B19,'RA3-Backfilled Pits'!$A$11:$BN$18,MATCH(Summary!X$1,'RA3-Backfilled Pits'!$A$9:$BN$9,1),FALSE),0)+IFERROR(VLOOKUP($B19,'RA4-Tracks_Roads'!$A$11:$BN$18,MATCH(Summary!X$1,'RA4-Tracks_Roads'!$A$9:$BN$9,1),FALSE),0)+IFERROR(VLOOKUP($B19,'RA5-ROM'!$A$11:$BN$18,MATCH(Summary!X$1,'RA5-ROM'!$A$9:$BN$9,1),FALSE),0)+IFERROR(VLOOKUP($B19,'RA6-CHPP'!$A$11:$BN$18,MATCH(Summary!X$1,'RA6-CHPP'!$A$9:$BN$9,1),FALSE),0)+IFERROR(VLOOKUP($B19,'RA7-Mine Infrastructure Area'!$A$11:$BN$18,MATCH(Summary!X$1,'RA7-Mine Infrastructure Area'!$A$9:$BN$9,1),FALSE),0)+IFERROR(VLOOKUP($B19,'RA8-Water Management Structures'!$A$11:$BN$18,MATCH(Summary!X$1,'RA8-Water Management Structures'!$A$9:$BN$9,1),FALSE),0)+IFERROR(VLOOKUP($B19,'RA9-Codisposal Upper'!$A$11:$BN$18,MATCH(Summary!X$1,'RA9-Codisposal Upper'!$A$9:$BN$9,1),FALSE),0)+IFERROR(VLOOKUP($B19,'RA10-Codisposal Slopes'!$A$11:$BN$18,MATCH(Summary!X$1,'RA10-Codisposal Slopes'!$A$9:$BN$9,1),FALSE),0)+IFERROR(VLOOKUP($B19,'IA1-Final Void inc Ramps'!$A$11:$BN$18,MATCH(Summary!X$1,'IA1-Final Void inc Ramps'!$A$9:$BN$9,1),FALSE),0)</f>
        <v>0</v>
      </c>
      <c r="Y19" s="51">
        <f>IFERROR(VLOOKUP($B19,'RA1- Elevated Dumps Upper'!$A$11:$BN$18,MATCH(Summary!Y$1,'RA1- Elevated Dumps Upper'!$A$9:$BN$9,1),FALSE),0)+IFERROR(VLOOKUP($B19,'RA2-Elevated Dumps Slopes'!$A$11:$BN$18,MATCH(Summary!Y$1,'RA2-Elevated Dumps Slopes'!$A$9:$BN$9,1),FALSE),0)+IFERROR(VLOOKUP($B19,'RA3-Backfilled Pits'!$A$11:$BN$18,MATCH(Summary!Y$1,'RA3-Backfilled Pits'!$A$9:$BN$9,1),FALSE),0)+IFERROR(VLOOKUP($B19,'RA4-Tracks_Roads'!$A$11:$BN$18,MATCH(Summary!Y$1,'RA4-Tracks_Roads'!$A$9:$BN$9,1),FALSE),0)+IFERROR(VLOOKUP($B19,'RA5-ROM'!$A$11:$BN$18,MATCH(Summary!Y$1,'RA5-ROM'!$A$9:$BN$9,1),FALSE),0)+IFERROR(VLOOKUP($B19,'RA6-CHPP'!$A$11:$BN$18,MATCH(Summary!Y$1,'RA6-CHPP'!$A$9:$BN$9,1),FALSE),0)+IFERROR(VLOOKUP($B19,'RA7-Mine Infrastructure Area'!$A$11:$BN$18,MATCH(Summary!Y$1,'RA7-Mine Infrastructure Area'!$A$9:$BN$9,1),FALSE),0)+IFERROR(VLOOKUP($B19,'RA8-Water Management Structures'!$A$11:$BN$18,MATCH(Summary!Y$1,'RA8-Water Management Structures'!$A$9:$BN$9,1),FALSE),0)+IFERROR(VLOOKUP($B19,'RA9-Codisposal Upper'!$A$11:$BN$18,MATCH(Summary!Y$1,'RA9-Codisposal Upper'!$A$9:$BN$9,1),FALSE),0)+IFERROR(VLOOKUP($B19,'RA10-Codisposal Slopes'!$A$11:$BN$18,MATCH(Summary!Y$1,'RA10-Codisposal Slopes'!$A$9:$BN$9,1),FALSE),0)+IFERROR(VLOOKUP($B19,'IA1-Final Void inc Ramps'!$A$11:$BN$18,MATCH(Summary!Y$1,'IA1-Final Void inc Ramps'!$A$9:$BN$9,1),FALSE),0)</f>
        <v>0</v>
      </c>
      <c r="Z19" s="51">
        <f>IFERROR(VLOOKUP($B19,'RA1- Elevated Dumps Upper'!$A$11:$BN$18,MATCH(Summary!Z$1,'RA1- Elevated Dumps Upper'!$A$9:$BN$9,1),FALSE),0)+IFERROR(VLOOKUP($B19,'RA2-Elevated Dumps Slopes'!$A$11:$BN$18,MATCH(Summary!Z$1,'RA2-Elevated Dumps Slopes'!$A$9:$BN$9,1),FALSE),0)+IFERROR(VLOOKUP($B19,'RA3-Backfilled Pits'!$A$11:$BN$18,MATCH(Summary!Z$1,'RA3-Backfilled Pits'!$A$9:$BN$9,1),FALSE),0)+IFERROR(VLOOKUP($B19,'RA4-Tracks_Roads'!$A$11:$BN$18,MATCH(Summary!Z$1,'RA4-Tracks_Roads'!$A$9:$BN$9,1),FALSE),0)+IFERROR(VLOOKUP($B19,'RA5-ROM'!$A$11:$BN$18,MATCH(Summary!Z$1,'RA5-ROM'!$A$9:$BN$9,1),FALSE),0)+IFERROR(VLOOKUP($B19,'RA6-CHPP'!$A$11:$BN$18,MATCH(Summary!Z$1,'RA6-CHPP'!$A$9:$BN$9,1),FALSE),0)+IFERROR(VLOOKUP($B19,'RA7-Mine Infrastructure Area'!$A$11:$BN$18,MATCH(Summary!Z$1,'RA7-Mine Infrastructure Area'!$A$9:$BN$9,1),FALSE),0)+IFERROR(VLOOKUP($B19,'RA8-Water Management Structures'!$A$11:$BN$18,MATCH(Summary!Z$1,'RA8-Water Management Structures'!$A$9:$BN$9,1),FALSE),0)+IFERROR(VLOOKUP($B19,'RA9-Codisposal Upper'!$A$11:$BN$18,MATCH(Summary!Z$1,'RA9-Codisposal Upper'!$A$9:$BN$9,1),FALSE),0)+IFERROR(VLOOKUP($B19,'RA10-Codisposal Slopes'!$A$11:$BN$18,MATCH(Summary!Z$1,'RA10-Codisposal Slopes'!$A$9:$BN$9,1),FALSE),0)+IFERROR(VLOOKUP($B19,'IA1-Final Void inc Ramps'!$A$11:$BN$18,MATCH(Summary!Z$1,'IA1-Final Void inc Ramps'!$A$9:$BN$9,1),FALSE),0)</f>
        <v>0</v>
      </c>
      <c r="AA19" s="51">
        <f>IFERROR(VLOOKUP($B19,'RA1- Elevated Dumps Upper'!$A$11:$BN$18,MATCH(Summary!AA$1,'RA1- Elevated Dumps Upper'!$A$9:$BN$9,1),FALSE),0)+IFERROR(VLOOKUP($B19,'RA2-Elevated Dumps Slopes'!$A$11:$BN$18,MATCH(Summary!AA$1,'RA2-Elevated Dumps Slopes'!$A$9:$BN$9,1),FALSE),0)+IFERROR(VLOOKUP($B19,'RA3-Backfilled Pits'!$A$11:$BN$18,MATCH(Summary!AA$1,'RA3-Backfilled Pits'!$A$9:$BN$9,1),FALSE),0)+IFERROR(VLOOKUP($B19,'RA4-Tracks_Roads'!$A$11:$BN$18,MATCH(Summary!AA$1,'RA4-Tracks_Roads'!$A$9:$BN$9,1),FALSE),0)+IFERROR(VLOOKUP($B19,'RA5-ROM'!$A$11:$BN$18,MATCH(Summary!AA$1,'RA5-ROM'!$A$9:$BN$9,1),FALSE),0)+IFERROR(VLOOKUP($B19,'RA6-CHPP'!$A$11:$BN$18,MATCH(Summary!AA$1,'RA6-CHPP'!$A$9:$BN$9,1),FALSE),0)+IFERROR(VLOOKUP($B19,'RA7-Mine Infrastructure Area'!$A$11:$BN$18,MATCH(Summary!AA$1,'RA7-Mine Infrastructure Area'!$A$9:$BN$9,1),FALSE),0)+IFERROR(VLOOKUP($B19,'RA8-Water Management Structures'!$A$11:$BN$18,MATCH(Summary!AA$1,'RA8-Water Management Structures'!$A$9:$BN$9,1),FALSE),0)+IFERROR(VLOOKUP($B19,'RA9-Codisposal Upper'!$A$11:$BN$18,MATCH(Summary!AA$1,'RA9-Codisposal Upper'!$A$9:$BN$9,1),FALSE),0)+IFERROR(VLOOKUP($B19,'RA10-Codisposal Slopes'!$A$11:$BN$18,MATCH(Summary!AA$1,'RA10-Codisposal Slopes'!$A$9:$BN$9,1),FALSE),0)+IFERROR(VLOOKUP($B19,'IA1-Final Void inc Ramps'!$A$11:$BN$18,MATCH(Summary!AA$1,'IA1-Final Void inc Ramps'!$A$9:$BN$9,1),FALSE),0)</f>
        <v>0</v>
      </c>
      <c r="AB19" s="51">
        <f>IFERROR(VLOOKUP($B19,'RA1- Elevated Dumps Upper'!$A$11:$BN$18,MATCH(Summary!AB$1,'RA1- Elevated Dumps Upper'!$A$9:$BN$9,1),FALSE),0)+IFERROR(VLOOKUP($B19,'RA2-Elevated Dumps Slopes'!$A$11:$BN$18,MATCH(Summary!AB$1,'RA2-Elevated Dumps Slopes'!$A$9:$BN$9,1),FALSE),0)+IFERROR(VLOOKUP($B19,'RA3-Backfilled Pits'!$A$11:$BN$18,MATCH(Summary!AB$1,'RA3-Backfilled Pits'!$A$9:$BN$9,1),FALSE),0)+IFERROR(VLOOKUP($B19,'RA4-Tracks_Roads'!$A$11:$BN$18,MATCH(Summary!AB$1,'RA4-Tracks_Roads'!$A$9:$BN$9,1),FALSE),0)+IFERROR(VLOOKUP($B19,'RA5-ROM'!$A$11:$BN$18,MATCH(Summary!AB$1,'RA5-ROM'!$A$9:$BN$9,1),FALSE),0)+IFERROR(VLOOKUP($B19,'RA6-CHPP'!$A$11:$BN$18,MATCH(Summary!AB$1,'RA6-CHPP'!$A$9:$BN$9,1),FALSE),0)+IFERROR(VLOOKUP($B19,'RA7-Mine Infrastructure Area'!$A$11:$BN$18,MATCH(Summary!AB$1,'RA7-Mine Infrastructure Area'!$A$9:$BN$9,1),FALSE),0)+IFERROR(VLOOKUP($B19,'RA8-Water Management Structures'!$A$11:$BN$18,MATCH(Summary!AB$1,'RA8-Water Management Structures'!$A$9:$BN$9,1),FALSE),0)+IFERROR(VLOOKUP($B19,'RA9-Codisposal Upper'!$A$11:$BN$18,MATCH(Summary!AB$1,'RA9-Codisposal Upper'!$A$9:$BN$9,1),FALSE),0)+IFERROR(VLOOKUP($B19,'RA10-Codisposal Slopes'!$A$11:$BN$18,MATCH(Summary!AB$1,'RA10-Codisposal Slopes'!$A$9:$BN$9,1),FALSE),0)+IFERROR(VLOOKUP($B19,'IA1-Final Void inc Ramps'!$A$11:$BN$18,MATCH(Summary!AB$1,'IA1-Final Void inc Ramps'!$A$9:$BN$9,1),FALSE),0)</f>
        <v>0</v>
      </c>
      <c r="AC19" s="51">
        <f>IFERROR(VLOOKUP($B19,'RA1- Elevated Dumps Upper'!$A$11:$BN$18,MATCH(Summary!AC$1,'RA1- Elevated Dumps Upper'!$A$9:$BN$9,1),FALSE),0)+IFERROR(VLOOKUP($B19,'RA2-Elevated Dumps Slopes'!$A$11:$BN$18,MATCH(Summary!AC$1,'RA2-Elevated Dumps Slopes'!$A$9:$BN$9,1),FALSE),0)+IFERROR(VLOOKUP($B19,'RA3-Backfilled Pits'!$A$11:$BN$18,MATCH(Summary!AC$1,'RA3-Backfilled Pits'!$A$9:$BN$9,1),FALSE),0)+IFERROR(VLOOKUP($B19,'RA4-Tracks_Roads'!$A$11:$BN$18,MATCH(Summary!AC$1,'RA4-Tracks_Roads'!$A$9:$BN$9,1),FALSE),0)+IFERROR(VLOOKUP($B19,'RA5-ROM'!$A$11:$BN$18,MATCH(Summary!AC$1,'RA5-ROM'!$A$9:$BN$9,1),FALSE),0)+IFERROR(VLOOKUP($B19,'RA6-CHPP'!$A$11:$BN$18,MATCH(Summary!AC$1,'RA6-CHPP'!$A$9:$BN$9,1),FALSE),0)+IFERROR(VLOOKUP($B19,'RA7-Mine Infrastructure Area'!$A$11:$BN$18,MATCH(Summary!AC$1,'RA7-Mine Infrastructure Area'!$A$9:$BN$9,1),FALSE),0)+IFERROR(VLOOKUP($B19,'RA8-Water Management Structures'!$A$11:$BN$18,MATCH(Summary!AC$1,'RA8-Water Management Structures'!$A$9:$BN$9,1),FALSE),0)+IFERROR(VLOOKUP($B19,'RA9-Codisposal Upper'!$A$11:$BN$18,MATCH(Summary!AC$1,'RA9-Codisposal Upper'!$A$9:$BN$9,1),FALSE),0)+IFERROR(VLOOKUP($B19,'RA10-Codisposal Slopes'!$A$11:$BN$18,MATCH(Summary!AC$1,'RA10-Codisposal Slopes'!$A$9:$BN$9,1),FALSE),0)+IFERROR(VLOOKUP($B19,'IA1-Final Void inc Ramps'!$A$11:$BN$18,MATCH(Summary!AC$1,'IA1-Final Void inc Ramps'!$A$9:$BN$9,1),FALSE),0)</f>
        <v>0</v>
      </c>
      <c r="AD19" s="51">
        <f>IFERROR(VLOOKUP($B19,'RA1- Elevated Dumps Upper'!$A$11:$BN$18,MATCH(Summary!AD$1,'RA1- Elevated Dumps Upper'!$A$9:$BN$9,1),FALSE),0)+IFERROR(VLOOKUP($B19,'RA2-Elevated Dumps Slopes'!$A$11:$BN$18,MATCH(Summary!AD$1,'RA2-Elevated Dumps Slopes'!$A$9:$BN$9,1),FALSE),0)+IFERROR(VLOOKUP($B19,'RA3-Backfilled Pits'!$A$11:$BN$18,MATCH(Summary!AD$1,'RA3-Backfilled Pits'!$A$9:$BN$9,1),FALSE),0)+IFERROR(VLOOKUP($B19,'RA4-Tracks_Roads'!$A$11:$BN$18,MATCH(Summary!AD$1,'RA4-Tracks_Roads'!$A$9:$BN$9,1),FALSE),0)+IFERROR(VLOOKUP($B19,'RA5-ROM'!$A$11:$BN$18,MATCH(Summary!AD$1,'RA5-ROM'!$A$9:$BN$9,1),FALSE),0)+IFERROR(VLOOKUP($B19,'RA6-CHPP'!$A$11:$BN$18,MATCH(Summary!AD$1,'RA6-CHPP'!$A$9:$BN$9,1),FALSE),0)+IFERROR(VLOOKUP($B19,'RA7-Mine Infrastructure Area'!$A$11:$BN$18,MATCH(Summary!AD$1,'RA7-Mine Infrastructure Area'!$A$9:$BN$9,1),FALSE),0)+IFERROR(VLOOKUP($B19,'RA8-Water Management Structures'!$A$11:$BN$18,MATCH(Summary!AD$1,'RA8-Water Management Structures'!$A$9:$BN$9,1),FALSE),0)+IFERROR(VLOOKUP($B19,'RA9-Codisposal Upper'!$A$11:$BN$18,MATCH(Summary!AD$1,'RA9-Codisposal Upper'!$A$9:$BN$9,1),FALSE),0)+IFERROR(VLOOKUP($B19,'RA10-Codisposal Slopes'!$A$11:$BN$18,MATCH(Summary!AD$1,'RA10-Codisposal Slopes'!$A$9:$BN$9,1),FALSE),0)+IFERROR(VLOOKUP($B19,'IA1-Final Void inc Ramps'!$A$11:$BN$18,MATCH(Summary!AD$1,'IA1-Final Void inc Ramps'!$A$9:$BN$9,1),FALSE),0)</f>
        <v>0</v>
      </c>
      <c r="AE19" s="51">
        <f>IFERROR(VLOOKUP($B19,'RA1- Elevated Dumps Upper'!$A$11:$BN$18,MATCH(Summary!AE$1,'RA1- Elevated Dumps Upper'!$A$9:$BN$9,1),FALSE),0)+IFERROR(VLOOKUP($B19,'RA2-Elevated Dumps Slopes'!$A$11:$BN$18,MATCH(Summary!AE$1,'RA2-Elevated Dumps Slopes'!$A$9:$BN$9,1),FALSE),0)+IFERROR(VLOOKUP($B19,'RA3-Backfilled Pits'!$A$11:$BN$18,MATCH(Summary!AE$1,'RA3-Backfilled Pits'!$A$9:$BN$9,1),FALSE),0)+IFERROR(VLOOKUP($B19,'RA4-Tracks_Roads'!$A$11:$BN$18,MATCH(Summary!AE$1,'RA4-Tracks_Roads'!$A$9:$BN$9,1),FALSE),0)+IFERROR(VLOOKUP($B19,'RA5-ROM'!$A$11:$BN$18,MATCH(Summary!AE$1,'RA5-ROM'!$A$9:$BN$9,1),FALSE),0)+IFERROR(VLOOKUP($B19,'RA6-CHPP'!$A$11:$BN$18,MATCH(Summary!AE$1,'RA6-CHPP'!$A$9:$BN$9,1),FALSE),0)+IFERROR(VLOOKUP($B19,'RA7-Mine Infrastructure Area'!$A$11:$BN$18,MATCH(Summary!AE$1,'RA7-Mine Infrastructure Area'!$A$9:$BN$9,1),FALSE),0)+IFERROR(VLOOKUP($B19,'RA8-Water Management Structures'!$A$11:$BN$18,MATCH(Summary!AE$1,'RA8-Water Management Structures'!$A$9:$BN$9,1),FALSE),0)+IFERROR(VLOOKUP($B19,'RA9-Codisposal Upper'!$A$11:$BN$18,MATCH(Summary!AE$1,'RA9-Codisposal Upper'!$A$9:$BN$9,1),FALSE),0)+IFERROR(VLOOKUP($B19,'RA10-Codisposal Slopes'!$A$11:$BN$18,MATCH(Summary!AE$1,'RA10-Codisposal Slopes'!$A$9:$BN$9,1),FALSE),0)+IFERROR(VLOOKUP($B19,'IA1-Final Void inc Ramps'!$A$11:$BN$18,MATCH(Summary!AE$1,'IA1-Final Void inc Ramps'!$A$9:$BN$9,1),FALSE),0)</f>
        <v>0</v>
      </c>
      <c r="AF19" s="51">
        <f>IFERROR(VLOOKUP($B19,'RA1- Elevated Dumps Upper'!$A$11:$BN$18,MATCH(Summary!AF$1,'RA1- Elevated Dumps Upper'!$A$9:$BN$9,1),FALSE),0)+IFERROR(VLOOKUP($B19,'RA2-Elevated Dumps Slopes'!$A$11:$BN$18,MATCH(Summary!AF$1,'RA2-Elevated Dumps Slopes'!$A$9:$BN$9,1),FALSE),0)+IFERROR(VLOOKUP($B19,'RA3-Backfilled Pits'!$A$11:$BN$18,MATCH(Summary!AF$1,'RA3-Backfilled Pits'!$A$9:$BN$9,1),FALSE),0)+IFERROR(VLOOKUP($B19,'RA4-Tracks_Roads'!$A$11:$BN$18,MATCH(Summary!AF$1,'RA4-Tracks_Roads'!$A$9:$BN$9,1),FALSE),0)+IFERROR(VLOOKUP($B19,'RA5-ROM'!$A$11:$BN$18,MATCH(Summary!AF$1,'RA5-ROM'!$A$9:$BN$9,1),FALSE),0)+IFERROR(VLOOKUP($B19,'RA6-CHPP'!$A$11:$BN$18,MATCH(Summary!AF$1,'RA6-CHPP'!$A$9:$BN$9,1),FALSE),0)+IFERROR(VLOOKUP($B19,'RA7-Mine Infrastructure Area'!$A$11:$BN$18,MATCH(Summary!AF$1,'RA7-Mine Infrastructure Area'!$A$9:$BN$9,1),FALSE),0)+IFERROR(VLOOKUP($B19,'RA8-Water Management Structures'!$A$11:$BN$18,MATCH(Summary!AF$1,'RA8-Water Management Structures'!$A$9:$BN$9,1),FALSE),0)+IFERROR(VLOOKUP($B19,'RA9-Codisposal Upper'!$A$11:$BN$18,MATCH(Summary!AF$1,'RA9-Codisposal Upper'!$A$9:$BN$9,1),FALSE),0)+IFERROR(VLOOKUP($B19,'RA10-Codisposal Slopes'!$A$11:$BN$18,MATCH(Summary!AF$1,'RA10-Codisposal Slopes'!$A$9:$BN$9,1),FALSE),0)+IFERROR(VLOOKUP($B19,'IA1-Final Void inc Ramps'!$A$11:$BN$18,MATCH(Summary!AF$1,'IA1-Final Void inc Ramps'!$A$9:$BN$9,1),FALSE),0)</f>
        <v>0</v>
      </c>
      <c r="AG19" s="51">
        <f>IFERROR(VLOOKUP($B19,'RA1- Elevated Dumps Upper'!$A$11:$BN$18,MATCH(Summary!AG$1,'RA1- Elevated Dumps Upper'!$A$9:$BN$9,1),FALSE),0)+IFERROR(VLOOKUP($B19,'RA2-Elevated Dumps Slopes'!$A$11:$BN$18,MATCH(Summary!AG$1,'RA2-Elevated Dumps Slopes'!$A$9:$BN$9,1),FALSE),0)+IFERROR(VLOOKUP($B19,'RA3-Backfilled Pits'!$A$11:$BN$18,MATCH(Summary!AG$1,'RA3-Backfilled Pits'!$A$9:$BN$9,1),FALSE),0)+IFERROR(VLOOKUP($B19,'RA4-Tracks_Roads'!$A$11:$BN$18,MATCH(Summary!AG$1,'RA4-Tracks_Roads'!$A$9:$BN$9,1),FALSE),0)+IFERROR(VLOOKUP($B19,'RA5-ROM'!$A$11:$BN$18,MATCH(Summary!AG$1,'RA5-ROM'!$A$9:$BN$9,1),FALSE),0)+IFERROR(VLOOKUP($B19,'RA6-CHPP'!$A$11:$BN$18,MATCH(Summary!AG$1,'RA6-CHPP'!$A$9:$BN$9,1),FALSE),0)+IFERROR(VLOOKUP($B19,'RA7-Mine Infrastructure Area'!$A$11:$BN$18,MATCH(Summary!AG$1,'RA7-Mine Infrastructure Area'!$A$9:$BN$9,1),FALSE),0)+IFERROR(VLOOKUP($B19,'RA8-Water Management Structures'!$A$11:$BN$18,MATCH(Summary!AG$1,'RA8-Water Management Structures'!$A$9:$BN$9,1),FALSE),0)+IFERROR(VLOOKUP($B19,'RA9-Codisposal Upper'!$A$11:$BN$18,MATCH(Summary!AG$1,'RA9-Codisposal Upper'!$A$9:$BN$9,1),FALSE),0)+IFERROR(VLOOKUP($B19,'RA10-Codisposal Slopes'!$A$11:$BN$18,MATCH(Summary!AG$1,'RA10-Codisposal Slopes'!$A$9:$BN$9,1),FALSE),0)+IFERROR(VLOOKUP($B19,'IA1-Final Void inc Ramps'!$A$11:$BN$18,MATCH(Summary!AG$1,'IA1-Final Void inc Ramps'!$A$9:$BN$9,1),FALSE),0)</f>
        <v>0</v>
      </c>
      <c r="AH19" s="51">
        <f>IFERROR(VLOOKUP($B19,'RA1- Elevated Dumps Upper'!$A$11:$BN$18,MATCH(Summary!AH$1,'RA1- Elevated Dumps Upper'!$A$9:$BN$9,1),FALSE),0)+IFERROR(VLOOKUP($B19,'RA2-Elevated Dumps Slopes'!$A$11:$BN$18,MATCH(Summary!AH$1,'RA2-Elevated Dumps Slopes'!$A$9:$BN$9,1),FALSE),0)+IFERROR(VLOOKUP($B19,'RA3-Backfilled Pits'!$A$11:$BN$18,MATCH(Summary!AH$1,'RA3-Backfilled Pits'!$A$9:$BN$9,1),FALSE),0)+IFERROR(VLOOKUP($B19,'RA4-Tracks_Roads'!$A$11:$BN$18,MATCH(Summary!AH$1,'RA4-Tracks_Roads'!$A$9:$BN$9,1),FALSE),0)+IFERROR(VLOOKUP($B19,'RA5-ROM'!$A$11:$BN$18,MATCH(Summary!AH$1,'RA5-ROM'!$A$9:$BN$9,1),FALSE),0)+IFERROR(VLOOKUP($B19,'RA6-CHPP'!$A$11:$BN$18,MATCH(Summary!AH$1,'RA6-CHPP'!$A$9:$BN$9,1),FALSE),0)+IFERROR(VLOOKUP($B19,'RA7-Mine Infrastructure Area'!$A$11:$BN$18,MATCH(Summary!AH$1,'RA7-Mine Infrastructure Area'!$A$9:$BN$9,1),FALSE),0)+IFERROR(VLOOKUP($B19,'RA8-Water Management Structures'!$A$11:$BN$18,MATCH(Summary!AH$1,'RA8-Water Management Structures'!$A$9:$BN$9,1),FALSE),0)+IFERROR(VLOOKUP($B19,'RA9-Codisposal Upper'!$A$11:$BN$18,MATCH(Summary!AH$1,'RA9-Codisposal Upper'!$A$9:$BN$9,1),FALSE),0)+IFERROR(VLOOKUP($B19,'RA10-Codisposal Slopes'!$A$11:$BN$18,MATCH(Summary!AH$1,'RA10-Codisposal Slopes'!$A$9:$BN$9,1),FALSE),0)+IFERROR(VLOOKUP($B19,'IA1-Final Void inc Ramps'!$A$11:$BN$18,MATCH(Summary!AH$1,'IA1-Final Void inc Ramps'!$A$9:$BN$9,1),FALSE),0)</f>
        <v>0</v>
      </c>
      <c r="AI19" s="51">
        <f>IFERROR(VLOOKUP($B19,'RA1- Elevated Dumps Upper'!$A$11:$BN$18,MATCH(Summary!AI$1,'RA1- Elevated Dumps Upper'!$A$9:$BN$9,1),FALSE),0)+IFERROR(VLOOKUP($B19,'RA2-Elevated Dumps Slopes'!$A$11:$BN$18,MATCH(Summary!AI$1,'RA2-Elevated Dumps Slopes'!$A$9:$BN$9,1),FALSE),0)+IFERROR(VLOOKUP($B19,'RA3-Backfilled Pits'!$A$11:$BN$18,MATCH(Summary!AI$1,'RA3-Backfilled Pits'!$A$9:$BN$9,1),FALSE),0)+IFERROR(VLOOKUP($B19,'RA4-Tracks_Roads'!$A$11:$BN$18,MATCH(Summary!AI$1,'RA4-Tracks_Roads'!$A$9:$BN$9,1),FALSE),0)+IFERROR(VLOOKUP($B19,'RA5-ROM'!$A$11:$BN$18,MATCH(Summary!AI$1,'RA5-ROM'!$A$9:$BN$9,1),FALSE),0)+IFERROR(VLOOKUP($B19,'RA6-CHPP'!$A$11:$BN$18,MATCH(Summary!AI$1,'RA6-CHPP'!$A$9:$BN$9,1),FALSE),0)+IFERROR(VLOOKUP($B19,'RA7-Mine Infrastructure Area'!$A$11:$BN$18,MATCH(Summary!AI$1,'RA7-Mine Infrastructure Area'!$A$9:$BN$9,1),FALSE),0)+IFERROR(VLOOKUP($B19,'RA8-Water Management Structures'!$A$11:$BN$18,MATCH(Summary!AI$1,'RA8-Water Management Structures'!$A$9:$BN$9,1),FALSE),0)+IFERROR(VLOOKUP($B19,'RA9-Codisposal Upper'!$A$11:$BN$18,MATCH(Summary!AI$1,'RA9-Codisposal Upper'!$A$9:$BN$9,1),FALSE),0)+IFERROR(VLOOKUP($B19,'RA10-Codisposal Slopes'!$A$11:$BN$18,MATCH(Summary!AI$1,'RA10-Codisposal Slopes'!$A$9:$BN$9,1),FALSE),0)+IFERROR(VLOOKUP($B19,'IA1-Final Void inc Ramps'!$A$11:$BN$18,MATCH(Summary!AI$1,'IA1-Final Void inc Ramps'!$A$9:$BN$9,1),FALSE),0)</f>
        <v>314</v>
      </c>
      <c r="AJ19" s="51">
        <f>IFERROR(VLOOKUP($B19,'RA1- Elevated Dumps Upper'!$A$11:$BN$18,MATCH(Summary!AJ$1,'RA1- Elevated Dumps Upper'!$A$9:$BN$9,1),FALSE),0)+IFERROR(VLOOKUP($B19,'RA2-Elevated Dumps Slopes'!$A$11:$BN$18,MATCH(Summary!AJ$1,'RA2-Elevated Dumps Slopes'!$A$9:$BN$9,1),FALSE),0)+IFERROR(VLOOKUP($B19,'RA3-Backfilled Pits'!$A$11:$BN$18,MATCH(Summary!AJ$1,'RA3-Backfilled Pits'!$A$9:$BN$9,1),FALSE),0)+IFERROR(VLOOKUP($B19,'RA4-Tracks_Roads'!$A$11:$BN$18,MATCH(Summary!AJ$1,'RA4-Tracks_Roads'!$A$9:$BN$9,1),FALSE),0)+IFERROR(VLOOKUP($B19,'RA5-ROM'!$A$11:$BN$18,MATCH(Summary!AJ$1,'RA5-ROM'!$A$9:$BN$9,1),FALSE),0)+IFERROR(VLOOKUP($B19,'RA6-CHPP'!$A$11:$BN$18,MATCH(Summary!AJ$1,'RA6-CHPP'!$A$9:$BN$9,1),FALSE),0)+IFERROR(VLOOKUP($B19,'RA7-Mine Infrastructure Area'!$A$11:$BN$18,MATCH(Summary!AJ$1,'RA7-Mine Infrastructure Area'!$A$9:$BN$9,1),FALSE),0)+IFERROR(VLOOKUP($B19,'RA8-Water Management Structures'!$A$11:$BN$18,MATCH(Summary!AJ$1,'RA8-Water Management Structures'!$A$9:$BN$9,1),FALSE),0)+IFERROR(VLOOKUP($B19,'RA9-Codisposal Upper'!$A$11:$BN$18,MATCH(Summary!AJ$1,'RA9-Codisposal Upper'!$A$9:$BN$9,1),FALSE),0)+IFERROR(VLOOKUP($B19,'RA10-Codisposal Slopes'!$A$11:$BN$18,MATCH(Summary!AJ$1,'RA10-Codisposal Slopes'!$A$9:$BN$9,1),FALSE),0)+IFERROR(VLOOKUP($B19,'IA1-Final Void inc Ramps'!$A$11:$BN$18,MATCH(Summary!AJ$1,'IA1-Final Void inc Ramps'!$A$9:$BN$9,1),FALSE),0)</f>
        <v>314</v>
      </c>
      <c r="AK19" s="51">
        <f>IFERROR(VLOOKUP($B19,'RA1- Elevated Dumps Upper'!$A$11:$BN$18,MATCH(Summary!AK$1,'RA1- Elevated Dumps Upper'!$A$9:$BN$9,1),FALSE),0)+IFERROR(VLOOKUP($B19,'RA2-Elevated Dumps Slopes'!$A$11:$BN$18,MATCH(Summary!AK$1,'RA2-Elevated Dumps Slopes'!$A$9:$BN$9,1),FALSE),0)+IFERROR(VLOOKUP($B19,'RA3-Backfilled Pits'!$A$11:$BN$18,MATCH(Summary!AK$1,'RA3-Backfilled Pits'!$A$9:$BN$9,1),FALSE),0)+IFERROR(VLOOKUP($B19,'RA4-Tracks_Roads'!$A$11:$BN$18,MATCH(Summary!AK$1,'RA4-Tracks_Roads'!$A$9:$BN$9,1),FALSE),0)+IFERROR(VLOOKUP($B19,'RA5-ROM'!$A$11:$BN$18,MATCH(Summary!AK$1,'RA5-ROM'!$A$9:$BN$9,1),FALSE),0)+IFERROR(VLOOKUP($B19,'RA6-CHPP'!$A$11:$BN$18,MATCH(Summary!AK$1,'RA6-CHPP'!$A$9:$BN$9,1),FALSE),0)+IFERROR(VLOOKUP($B19,'RA7-Mine Infrastructure Area'!$A$11:$BN$18,MATCH(Summary!AK$1,'RA7-Mine Infrastructure Area'!$A$9:$BN$9,1),FALSE),0)+IFERROR(VLOOKUP($B19,'RA8-Water Management Structures'!$A$11:$BN$18,MATCH(Summary!AK$1,'RA8-Water Management Structures'!$A$9:$BN$9,1),FALSE),0)+IFERROR(VLOOKUP($B19,'RA9-Codisposal Upper'!$A$11:$BN$18,MATCH(Summary!AK$1,'RA9-Codisposal Upper'!$A$9:$BN$9,1),FALSE),0)+IFERROR(VLOOKUP($B19,'RA10-Codisposal Slopes'!$A$11:$BN$18,MATCH(Summary!AK$1,'RA10-Codisposal Slopes'!$A$9:$BN$9,1),FALSE),0)+IFERROR(VLOOKUP($B19,'IA1-Final Void inc Ramps'!$A$11:$BN$18,MATCH(Summary!AK$1,'IA1-Final Void inc Ramps'!$A$9:$BN$9,1),FALSE),0)</f>
        <v>314</v>
      </c>
      <c r="AL19" s="51">
        <f>IFERROR(VLOOKUP($B19,'RA1- Elevated Dumps Upper'!$A$11:$BN$18,MATCH(Summary!AL$1,'RA1- Elevated Dumps Upper'!$A$9:$BN$9,1),FALSE),0)+IFERROR(VLOOKUP($B19,'RA2-Elevated Dumps Slopes'!$A$11:$BN$18,MATCH(Summary!AL$1,'RA2-Elevated Dumps Slopes'!$A$9:$BN$9,1),FALSE),0)+IFERROR(VLOOKUP($B19,'RA3-Backfilled Pits'!$A$11:$BN$18,MATCH(Summary!AL$1,'RA3-Backfilled Pits'!$A$9:$BN$9,1),FALSE),0)+IFERROR(VLOOKUP($B19,'RA4-Tracks_Roads'!$A$11:$BN$18,MATCH(Summary!AL$1,'RA4-Tracks_Roads'!$A$9:$BN$9,1),FALSE),0)+IFERROR(VLOOKUP($B19,'RA5-ROM'!$A$11:$BN$18,MATCH(Summary!AL$1,'RA5-ROM'!$A$9:$BN$9,1),FALSE),0)+IFERROR(VLOOKUP($B19,'RA6-CHPP'!$A$11:$BN$18,MATCH(Summary!AL$1,'RA6-CHPP'!$A$9:$BN$9,1),FALSE),0)+IFERROR(VLOOKUP($B19,'RA7-Mine Infrastructure Area'!$A$11:$BN$18,MATCH(Summary!AL$1,'RA7-Mine Infrastructure Area'!$A$9:$BN$9,1),FALSE),0)+IFERROR(VLOOKUP($B19,'RA8-Water Management Structures'!$A$11:$BN$18,MATCH(Summary!AL$1,'RA8-Water Management Structures'!$A$9:$BN$9,1),FALSE),0)+IFERROR(VLOOKUP($B19,'RA9-Codisposal Upper'!$A$11:$BN$18,MATCH(Summary!AL$1,'RA9-Codisposal Upper'!$A$9:$BN$9,1),FALSE),0)+IFERROR(VLOOKUP($B19,'RA10-Codisposal Slopes'!$A$11:$BN$18,MATCH(Summary!AL$1,'RA10-Codisposal Slopes'!$A$9:$BN$9,1),FALSE),0)+IFERROR(VLOOKUP($B19,'IA1-Final Void inc Ramps'!$A$11:$BN$18,MATCH(Summary!AL$1,'IA1-Final Void inc Ramps'!$A$9:$BN$9,1),FALSE),0)</f>
        <v>314</v>
      </c>
      <c r="AM19" s="51">
        <f>IFERROR(VLOOKUP($B19,'RA1- Elevated Dumps Upper'!$A$11:$BN$18,MATCH(Summary!AM$1,'RA1- Elevated Dumps Upper'!$A$9:$BN$9,1),FALSE),0)+IFERROR(VLOOKUP($B19,'RA2-Elevated Dumps Slopes'!$A$11:$BN$18,MATCH(Summary!AM$1,'RA2-Elevated Dumps Slopes'!$A$9:$BN$9,1),FALSE),0)+IFERROR(VLOOKUP($B19,'RA3-Backfilled Pits'!$A$11:$BN$18,MATCH(Summary!AM$1,'RA3-Backfilled Pits'!$A$9:$BN$9,1),FALSE),0)+IFERROR(VLOOKUP($B19,'RA4-Tracks_Roads'!$A$11:$BN$18,MATCH(Summary!AM$1,'RA4-Tracks_Roads'!$A$9:$BN$9,1),FALSE),0)+IFERROR(VLOOKUP($B19,'RA5-ROM'!$A$11:$BN$18,MATCH(Summary!AM$1,'RA5-ROM'!$A$9:$BN$9,1),FALSE),0)+IFERROR(VLOOKUP($B19,'RA6-CHPP'!$A$11:$BN$18,MATCH(Summary!AM$1,'RA6-CHPP'!$A$9:$BN$9,1),FALSE),0)+IFERROR(VLOOKUP($B19,'RA7-Mine Infrastructure Area'!$A$11:$BN$18,MATCH(Summary!AM$1,'RA7-Mine Infrastructure Area'!$A$9:$BN$9,1),FALSE),0)+IFERROR(VLOOKUP($B19,'RA8-Water Management Structures'!$A$11:$BN$18,MATCH(Summary!AM$1,'RA8-Water Management Structures'!$A$9:$BN$9,1),FALSE),0)+IFERROR(VLOOKUP($B19,'RA9-Codisposal Upper'!$A$11:$BN$18,MATCH(Summary!AM$1,'RA9-Codisposal Upper'!$A$9:$BN$9,1),FALSE),0)+IFERROR(VLOOKUP($B19,'RA10-Codisposal Slopes'!$A$11:$BN$18,MATCH(Summary!AM$1,'RA10-Codisposal Slopes'!$A$9:$BN$9,1),FALSE),0)+IFERROR(VLOOKUP($B19,'IA1-Final Void inc Ramps'!$A$11:$BN$18,MATCH(Summary!AM$1,'IA1-Final Void inc Ramps'!$A$9:$BN$9,1),FALSE),0)</f>
        <v>314</v>
      </c>
      <c r="AN19" s="51">
        <f>IFERROR(VLOOKUP($B19,'RA1- Elevated Dumps Upper'!$A$11:$BN$18,MATCH(Summary!AN$1,'RA1- Elevated Dumps Upper'!$A$9:$BN$9,1),FALSE),0)+IFERROR(VLOOKUP($B19,'RA2-Elevated Dumps Slopes'!$A$11:$BN$18,MATCH(Summary!AN$1,'RA2-Elevated Dumps Slopes'!$A$9:$BN$9,1),FALSE),0)+IFERROR(VLOOKUP($B19,'RA3-Backfilled Pits'!$A$11:$BN$18,MATCH(Summary!AN$1,'RA3-Backfilled Pits'!$A$9:$BN$9,1),FALSE),0)+IFERROR(VLOOKUP($B19,'RA4-Tracks_Roads'!$A$11:$BN$18,MATCH(Summary!AN$1,'RA4-Tracks_Roads'!$A$9:$BN$9,1),FALSE),0)+IFERROR(VLOOKUP($B19,'RA5-ROM'!$A$11:$BN$18,MATCH(Summary!AN$1,'RA5-ROM'!$A$9:$BN$9,1),FALSE),0)+IFERROR(VLOOKUP($B19,'RA6-CHPP'!$A$11:$BN$18,MATCH(Summary!AN$1,'RA6-CHPP'!$A$9:$BN$9,1),FALSE),0)+IFERROR(VLOOKUP($B19,'RA7-Mine Infrastructure Area'!$A$11:$BN$18,MATCH(Summary!AN$1,'RA7-Mine Infrastructure Area'!$A$9:$BN$9,1),FALSE),0)+IFERROR(VLOOKUP($B19,'RA8-Water Management Structures'!$A$11:$BN$18,MATCH(Summary!AN$1,'RA8-Water Management Structures'!$A$9:$BN$9,1),FALSE),0)+IFERROR(VLOOKUP($B19,'RA9-Codisposal Upper'!$A$11:$BN$18,MATCH(Summary!AN$1,'RA9-Codisposal Upper'!$A$9:$BN$9,1),FALSE),0)+IFERROR(VLOOKUP($B19,'RA10-Codisposal Slopes'!$A$11:$BN$18,MATCH(Summary!AN$1,'RA10-Codisposal Slopes'!$A$9:$BN$9,1),FALSE),0)+IFERROR(VLOOKUP($B19,'IA1-Final Void inc Ramps'!$A$11:$BN$18,MATCH(Summary!AN$1,'IA1-Final Void inc Ramps'!$A$9:$BN$9,1),FALSE),0)</f>
        <v>314</v>
      </c>
      <c r="AO19" s="51">
        <f>IFERROR(VLOOKUP($B19,'RA1- Elevated Dumps Upper'!$A$11:$BN$18,MATCH(Summary!AO$1,'RA1- Elevated Dumps Upper'!$A$9:$BN$9,1),FALSE),0)+IFERROR(VLOOKUP($B19,'RA2-Elevated Dumps Slopes'!$A$11:$BN$18,MATCH(Summary!AO$1,'RA2-Elevated Dumps Slopes'!$A$9:$BN$9,1),FALSE),0)+IFERROR(VLOOKUP($B19,'RA3-Backfilled Pits'!$A$11:$BN$18,MATCH(Summary!AO$1,'RA3-Backfilled Pits'!$A$9:$BN$9,1),FALSE),0)+IFERROR(VLOOKUP($B19,'RA4-Tracks_Roads'!$A$11:$BN$18,MATCH(Summary!AO$1,'RA4-Tracks_Roads'!$A$9:$BN$9,1),FALSE),0)+IFERROR(VLOOKUP($B19,'RA5-ROM'!$A$11:$BN$18,MATCH(Summary!AO$1,'RA5-ROM'!$A$9:$BN$9,1),FALSE),0)+IFERROR(VLOOKUP($B19,'RA6-CHPP'!$A$11:$BN$18,MATCH(Summary!AO$1,'RA6-CHPP'!$A$9:$BN$9,1),FALSE),0)+IFERROR(VLOOKUP($B19,'RA7-Mine Infrastructure Area'!$A$11:$BN$18,MATCH(Summary!AO$1,'RA7-Mine Infrastructure Area'!$A$9:$BN$9,1),FALSE),0)+IFERROR(VLOOKUP($B19,'RA8-Water Management Structures'!$A$11:$BN$18,MATCH(Summary!AO$1,'RA8-Water Management Structures'!$A$9:$BN$9,1),FALSE),0)+IFERROR(VLOOKUP($B19,'RA9-Codisposal Upper'!$A$11:$BN$18,MATCH(Summary!AO$1,'RA9-Codisposal Upper'!$A$9:$BN$9,1),FALSE),0)+IFERROR(VLOOKUP($B19,'RA10-Codisposal Slopes'!$A$11:$BN$18,MATCH(Summary!AO$1,'RA10-Codisposal Slopes'!$A$9:$BN$9,1),FALSE),0)+IFERROR(VLOOKUP($B19,'IA1-Final Void inc Ramps'!$A$11:$BN$18,MATCH(Summary!AO$1,'IA1-Final Void inc Ramps'!$A$9:$BN$9,1),FALSE),0)</f>
        <v>314</v>
      </c>
      <c r="AP19" s="51">
        <f>IFERROR(VLOOKUP($B19,'RA1- Elevated Dumps Upper'!$A$11:$BN$18,MATCH(Summary!AP$1,'RA1- Elevated Dumps Upper'!$A$9:$BN$9,1),FALSE),0)+IFERROR(VLOOKUP($B19,'RA2-Elevated Dumps Slopes'!$A$11:$BN$18,MATCH(Summary!AP$1,'RA2-Elevated Dumps Slopes'!$A$9:$BN$9,1),FALSE),0)+IFERROR(VLOOKUP($B19,'RA3-Backfilled Pits'!$A$11:$BN$18,MATCH(Summary!AP$1,'RA3-Backfilled Pits'!$A$9:$BN$9,1),FALSE),0)+IFERROR(VLOOKUP($B19,'RA4-Tracks_Roads'!$A$11:$BN$18,MATCH(Summary!AP$1,'RA4-Tracks_Roads'!$A$9:$BN$9,1),FALSE),0)+IFERROR(VLOOKUP($B19,'RA5-ROM'!$A$11:$BN$18,MATCH(Summary!AP$1,'RA5-ROM'!$A$9:$BN$9,1),FALSE),0)+IFERROR(VLOOKUP($B19,'RA6-CHPP'!$A$11:$BN$18,MATCH(Summary!AP$1,'RA6-CHPP'!$A$9:$BN$9,1),FALSE),0)+IFERROR(VLOOKUP($B19,'RA7-Mine Infrastructure Area'!$A$11:$BN$18,MATCH(Summary!AP$1,'RA7-Mine Infrastructure Area'!$A$9:$BN$9,1),FALSE),0)+IFERROR(VLOOKUP($B19,'RA8-Water Management Structures'!$A$11:$BN$18,MATCH(Summary!AP$1,'RA8-Water Management Structures'!$A$9:$BN$9,1),FALSE),0)+IFERROR(VLOOKUP($B19,'RA9-Codisposal Upper'!$A$11:$BN$18,MATCH(Summary!AP$1,'RA9-Codisposal Upper'!$A$9:$BN$9,1),FALSE),0)+IFERROR(VLOOKUP($B19,'RA10-Codisposal Slopes'!$A$11:$BN$18,MATCH(Summary!AP$1,'RA10-Codisposal Slopes'!$A$9:$BN$9,1),FALSE),0)+IFERROR(VLOOKUP($B19,'IA1-Final Void inc Ramps'!$A$11:$BN$18,MATCH(Summary!AP$1,'IA1-Final Void inc Ramps'!$A$9:$BN$9,1),FALSE),0)</f>
        <v>338</v>
      </c>
      <c r="AQ19" s="51">
        <f>IFERROR(VLOOKUP($B19,'RA1- Elevated Dumps Upper'!$A$11:$BN$18,MATCH(Summary!AQ$1,'RA1- Elevated Dumps Upper'!$A$9:$BN$9,1),FALSE),0)+IFERROR(VLOOKUP($B19,'RA2-Elevated Dumps Slopes'!$A$11:$BN$18,MATCH(Summary!AQ$1,'RA2-Elevated Dumps Slopes'!$A$9:$BN$9,1),FALSE),0)+IFERROR(VLOOKUP($B19,'RA3-Backfilled Pits'!$A$11:$BN$18,MATCH(Summary!AQ$1,'RA3-Backfilled Pits'!$A$9:$BN$9,1),FALSE),0)+IFERROR(VLOOKUP($B19,'RA4-Tracks_Roads'!$A$11:$BN$18,MATCH(Summary!AQ$1,'RA4-Tracks_Roads'!$A$9:$BN$9,1),FALSE),0)+IFERROR(VLOOKUP($B19,'RA5-ROM'!$A$11:$BN$18,MATCH(Summary!AQ$1,'RA5-ROM'!$A$9:$BN$9,1),FALSE),0)+IFERROR(VLOOKUP($B19,'RA6-CHPP'!$A$11:$BN$18,MATCH(Summary!AQ$1,'RA6-CHPP'!$A$9:$BN$9,1),FALSE),0)+IFERROR(VLOOKUP($B19,'RA7-Mine Infrastructure Area'!$A$11:$BN$18,MATCH(Summary!AQ$1,'RA7-Mine Infrastructure Area'!$A$9:$BN$9,1),FALSE),0)+IFERROR(VLOOKUP($B19,'RA8-Water Management Structures'!$A$11:$BN$18,MATCH(Summary!AQ$1,'RA8-Water Management Structures'!$A$9:$BN$9,1),FALSE),0)+IFERROR(VLOOKUP($B19,'RA9-Codisposal Upper'!$A$11:$BN$18,MATCH(Summary!AQ$1,'RA9-Codisposal Upper'!$A$9:$BN$9,1),FALSE),0)+IFERROR(VLOOKUP($B19,'RA10-Codisposal Slopes'!$A$11:$BN$18,MATCH(Summary!AQ$1,'RA10-Codisposal Slopes'!$A$9:$BN$9,1),FALSE),0)+IFERROR(VLOOKUP($B19,'IA1-Final Void inc Ramps'!$A$11:$BN$18,MATCH(Summary!AQ$1,'IA1-Final Void inc Ramps'!$A$9:$BN$9,1),FALSE),0)</f>
        <v>449</v>
      </c>
      <c r="AR19" s="51">
        <f>IFERROR(VLOOKUP($B19,'RA1- Elevated Dumps Upper'!$A$11:$BN$18,MATCH(Summary!AR$1,'RA1- Elevated Dumps Upper'!$A$9:$BN$9,1),FALSE),0)+IFERROR(VLOOKUP($B19,'RA2-Elevated Dumps Slopes'!$A$11:$BN$18,MATCH(Summary!AR$1,'RA2-Elevated Dumps Slopes'!$A$9:$BN$9,1),FALSE),0)+IFERROR(VLOOKUP($B19,'RA3-Backfilled Pits'!$A$11:$BN$18,MATCH(Summary!AR$1,'RA3-Backfilled Pits'!$A$9:$BN$9,1),FALSE),0)+IFERROR(VLOOKUP($B19,'RA4-Tracks_Roads'!$A$11:$BN$18,MATCH(Summary!AR$1,'RA4-Tracks_Roads'!$A$9:$BN$9,1),FALSE),0)+IFERROR(VLOOKUP($B19,'RA5-ROM'!$A$11:$BN$18,MATCH(Summary!AR$1,'RA5-ROM'!$A$9:$BN$9,1),FALSE),0)+IFERROR(VLOOKUP($B19,'RA6-CHPP'!$A$11:$BN$18,MATCH(Summary!AR$1,'RA6-CHPP'!$A$9:$BN$9,1),FALSE),0)+IFERROR(VLOOKUP($B19,'RA7-Mine Infrastructure Area'!$A$11:$BN$18,MATCH(Summary!AR$1,'RA7-Mine Infrastructure Area'!$A$9:$BN$9,1),FALSE),0)+IFERROR(VLOOKUP($B19,'RA8-Water Management Structures'!$A$11:$BN$18,MATCH(Summary!AR$1,'RA8-Water Management Structures'!$A$9:$BN$9,1),FALSE),0)+IFERROR(VLOOKUP($B19,'RA9-Codisposal Upper'!$A$11:$BN$18,MATCH(Summary!AR$1,'RA9-Codisposal Upper'!$A$9:$BN$9,1),FALSE),0)+IFERROR(VLOOKUP($B19,'RA10-Codisposal Slopes'!$A$11:$BN$18,MATCH(Summary!AR$1,'RA10-Codisposal Slopes'!$A$9:$BN$9,1),FALSE),0)+IFERROR(VLOOKUP($B19,'IA1-Final Void inc Ramps'!$A$11:$BN$18,MATCH(Summary!AR$1,'IA1-Final Void inc Ramps'!$A$9:$BN$9,1),FALSE),0)</f>
        <v>477.00299999999999</v>
      </c>
      <c r="AS19" s="51">
        <f>IFERROR(VLOOKUP($B19,'RA1- Elevated Dumps Upper'!$A$11:$BN$18,MATCH(Summary!AS$1,'RA1- Elevated Dumps Upper'!$A$9:$BN$9,1),FALSE),0)+IFERROR(VLOOKUP($B19,'RA2-Elevated Dumps Slopes'!$A$11:$BN$18,MATCH(Summary!AS$1,'RA2-Elevated Dumps Slopes'!$A$9:$BN$9,1),FALSE),0)+IFERROR(VLOOKUP($B19,'RA3-Backfilled Pits'!$A$11:$BN$18,MATCH(Summary!AS$1,'RA3-Backfilled Pits'!$A$9:$BN$9,1),FALSE),0)+IFERROR(VLOOKUP($B19,'RA4-Tracks_Roads'!$A$11:$BN$18,MATCH(Summary!AS$1,'RA4-Tracks_Roads'!$A$9:$BN$9,1),FALSE),0)+IFERROR(VLOOKUP($B19,'RA5-ROM'!$A$11:$BN$18,MATCH(Summary!AS$1,'RA5-ROM'!$A$9:$BN$9,1),FALSE),0)+IFERROR(VLOOKUP($B19,'RA6-CHPP'!$A$11:$BN$18,MATCH(Summary!AS$1,'RA6-CHPP'!$A$9:$BN$9,1),FALSE),0)+IFERROR(VLOOKUP($B19,'RA7-Mine Infrastructure Area'!$A$11:$BN$18,MATCH(Summary!AS$1,'RA7-Mine Infrastructure Area'!$A$9:$BN$9,1),FALSE),0)+IFERROR(VLOOKUP($B19,'RA8-Water Management Structures'!$A$11:$BN$18,MATCH(Summary!AS$1,'RA8-Water Management Structures'!$A$9:$BN$9,1),FALSE),0)+IFERROR(VLOOKUP($B19,'RA9-Codisposal Upper'!$A$11:$BN$18,MATCH(Summary!AS$1,'RA9-Codisposal Upper'!$A$9:$BN$9,1),FALSE),0)+IFERROR(VLOOKUP($B19,'RA10-Codisposal Slopes'!$A$11:$BN$18,MATCH(Summary!AS$1,'RA10-Codisposal Slopes'!$A$9:$BN$9,1),FALSE),0)+IFERROR(VLOOKUP($B19,'IA1-Final Void inc Ramps'!$A$11:$BN$18,MATCH(Summary!AS$1,'IA1-Final Void inc Ramps'!$A$9:$BN$9,1),FALSE),0)</f>
        <v>569.90300000000002</v>
      </c>
      <c r="AT19" s="51">
        <f>IFERROR(VLOOKUP($B19,'RA1- Elevated Dumps Upper'!$A$11:$BN$18,MATCH(Summary!AT$1,'RA1- Elevated Dumps Upper'!$A$9:$BN$9,1),FALSE),0)+IFERROR(VLOOKUP($B19,'RA2-Elevated Dumps Slopes'!$A$11:$BN$18,MATCH(Summary!AT$1,'RA2-Elevated Dumps Slopes'!$A$9:$BN$9,1),FALSE),0)+IFERROR(VLOOKUP($B19,'RA3-Backfilled Pits'!$A$11:$BN$18,MATCH(Summary!AT$1,'RA3-Backfilled Pits'!$A$9:$BN$9,1),FALSE),0)+IFERROR(VLOOKUP($B19,'RA4-Tracks_Roads'!$A$11:$BN$18,MATCH(Summary!AT$1,'RA4-Tracks_Roads'!$A$9:$BN$9,1),FALSE),0)+IFERROR(VLOOKUP($B19,'RA5-ROM'!$A$11:$BN$18,MATCH(Summary!AT$1,'RA5-ROM'!$A$9:$BN$9,1),FALSE),0)+IFERROR(VLOOKUP($B19,'RA6-CHPP'!$A$11:$BN$18,MATCH(Summary!AT$1,'RA6-CHPP'!$A$9:$BN$9,1),FALSE),0)+IFERROR(VLOOKUP($B19,'RA7-Mine Infrastructure Area'!$A$11:$BN$18,MATCH(Summary!AT$1,'RA7-Mine Infrastructure Area'!$A$9:$BN$9,1),FALSE),0)+IFERROR(VLOOKUP($B19,'RA8-Water Management Structures'!$A$11:$BN$18,MATCH(Summary!AT$1,'RA8-Water Management Structures'!$A$9:$BN$9,1),FALSE),0)+IFERROR(VLOOKUP($B19,'RA9-Codisposal Upper'!$A$11:$BN$18,MATCH(Summary!AT$1,'RA9-Codisposal Upper'!$A$9:$BN$9,1),FALSE),0)+IFERROR(VLOOKUP($B19,'RA10-Codisposal Slopes'!$A$11:$BN$18,MATCH(Summary!AT$1,'RA10-Codisposal Slopes'!$A$9:$BN$9,1),FALSE),0)+IFERROR(VLOOKUP($B19,'IA1-Final Void inc Ramps'!$A$11:$BN$18,MATCH(Summary!AT$1,'IA1-Final Void inc Ramps'!$A$9:$BN$9,1),FALSE),0)</f>
        <v>569.90300000000002</v>
      </c>
      <c r="AU19" s="51">
        <f>IFERROR(VLOOKUP($B19,'RA1- Elevated Dumps Upper'!$A$11:$BN$18,MATCH(Summary!AU$1,'RA1- Elevated Dumps Upper'!$A$9:$BN$9,1),FALSE),0)+IFERROR(VLOOKUP($B19,'RA2-Elevated Dumps Slopes'!$A$11:$BN$18,MATCH(Summary!AU$1,'RA2-Elevated Dumps Slopes'!$A$9:$BN$9,1),FALSE),0)+IFERROR(VLOOKUP($B19,'RA3-Backfilled Pits'!$A$11:$BN$18,MATCH(Summary!AU$1,'RA3-Backfilled Pits'!$A$9:$BN$9,1),FALSE),0)+IFERROR(VLOOKUP($B19,'RA4-Tracks_Roads'!$A$11:$BN$18,MATCH(Summary!AU$1,'RA4-Tracks_Roads'!$A$9:$BN$9,1),FALSE),0)+IFERROR(VLOOKUP($B19,'RA5-ROM'!$A$11:$BN$18,MATCH(Summary!AU$1,'RA5-ROM'!$A$9:$BN$9,1),FALSE),0)+IFERROR(VLOOKUP($B19,'RA6-CHPP'!$A$11:$BN$18,MATCH(Summary!AU$1,'RA6-CHPP'!$A$9:$BN$9,1),FALSE),0)+IFERROR(VLOOKUP($B19,'RA7-Mine Infrastructure Area'!$A$11:$BN$18,MATCH(Summary!AU$1,'RA7-Mine Infrastructure Area'!$A$9:$BN$9,1),FALSE),0)+IFERROR(VLOOKUP($B19,'RA8-Water Management Structures'!$A$11:$BN$18,MATCH(Summary!AU$1,'RA8-Water Management Structures'!$A$9:$BN$9,1),FALSE),0)+IFERROR(VLOOKUP($B19,'RA9-Codisposal Upper'!$A$11:$BN$18,MATCH(Summary!AU$1,'RA9-Codisposal Upper'!$A$9:$BN$9,1),FALSE),0)+IFERROR(VLOOKUP($B19,'RA10-Codisposal Slopes'!$A$11:$BN$18,MATCH(Summary!AU$1,'RA10-Codisposal Slopes'!$A$9:$BN$9,1),FALSE),0)+IFERROR(VLOOKUP($B19,'IA1-Final Void inc Ramps'!$A$11:$BN$18,MATCH(Summary!AU$1,'IA1-Final Void inc Ramps'!$A$9:$BN$9,1),FALSE),0)</f>
        <v>569.90300000000002</v>
      </c>
      <c r="AV19" s="51">
        <f>IFERROR(VLOOKUP($B19,'RA1- Elevated Dumps Upper'!$A$11:$BN$18,MATCH(Summary!AV$1,'RA1- Elevated Dumps Upper'!$A$9:$BN$9,1),FALSE),0)+IFERROR(VLOOKUP($B19,'RA2-Elevated Dumps Slopes'!$A$11:$BN$18,MATCH(Summary!AV$1,'RA2-Elevated Dumps Slopes'!$A$9:$BN$9,1),FALSE),0)+IFERROR(VLOOKUP($B19,'RA3-Backfilled Pits'!$A$11:$BN$18,MATCH(Summary!AV$1,'RA3-Backfilled Pits'!$A$9:$BN$9,1),FALSE),0)+IFERROR(VLOOKUP($B19,'RA4-Tracks_Roads'!$A$11:$BN$18,MATCH(Summary!AV$1,'RA4-Tracks_Roads'!$A$9:$BN$9,1),FALSE),0)+IFERROR(VLOOKUP($B19,'RA5-ROM'!$A$11:$BN$18,MATCH(Summary!AV$1,'RA5-ROM'!$A$9:$BN$9,1),FALSE),0)+IFERROR(VLOOKUP($B19,'RA6-CHPP'!$A$11:$BN$18,MATCH(Summary!AV$1,'RA6-CHPP'!$A$9:$BN$9,1),FALSE),0)+IFERROR(VLOOKUP($B19,'RA7-Mine Infrastructure Area'!$A$11:$BN$18,MATCH(Summary!AV$1,'RA7-Mine Infrastructure Area'!$A$9:$BN$9,1),FALSE),0)+IFERROR(VLOOKUP($B19,'RA8-Water Management Structures'!$A$11:$BN$18,MATCH(Summary!AV$1,'RA8-Water Management Structures'!$A$9:$BN$9,1),FALSE),0)+IFERROR(VLOOKUP($B19,'RA9-Codisposal Upper'!$A$11:$BN$18,MATCH(Summary!AV$1,'RA9-Codisposal Upper'!$A$9:$BN$9,1),FALSE),0)+IFERROR(VLOOKUP($B19,'RA10-Codisposal Slopes'!$A$11:$BN$18,MATCH(Summary!AV$1,'RA10-Codisposal Slopes'!$A$9:$BN$9,1),FALSE),0)+IFERROR(VLOOKUP($B19,'IA1-Final Void inc Ramps'!$A$11:$BN$18,MATCH(Summary!AV$1,'IA1-Final Void inc Ramps'!$A$9:$BN$9,1),FALSE),0)</f>
        <v>569.90300000000002</v>
      </c>
      <c r="AW19" s="51">
        <f>IFERROR(VLOOKUP($B19,'RA1- Elevated Dumps Upper'!$A$11:$BN$18,MATCH(Summary!AW$1,'RA1- Elevated Dumps Upper'!$A$9:$BN$9,1),FALSE),0)+IFERROR(VLOOKUP($B19,'RA2-Elevated Dumps Slopes'!$A$11:$BN$18,MATCH(Summary!AW$1,'RA2-Elevated Dumps Slopes'!$A$9:$BN$9,1),FALSE),0)+IFERROR(VLOOKUP($B19,'RA3-Backfilled Pits'!$A$11:$BN$18,MATCH(Summary!AW$1,'RA3-Backfilled Pits'!$A$9:$BN$9,1),FALSE),0)+IFERROR(VLOOKUP($B19,'RA4-Tracks_Roads'!$A$11:$BN$18,MATCH(Summary!AW$1,'RA4-Tracks_Roads'!$A$9:$BN$9,1),FALSE),0)+IFERROR(VLOOKUP($B19,'RA5-ROM'!$A$11:$BN$18,MATCH(Summary!AW$1,'RA5-ROM'!$A$9:$BN$9,1),FALSE),0)+IFERROR(VLOOKUP($B19,'RA6-CHPP'!$A$11:$BN$18,MATCH(Summary!AW$1,'RA6-CHPP'!$A$9:$BN$9,1),FALSE),0)+IFERROR(VLOOKUP($B19,'RA7-Mine Infrastructure Area'!$A$11:$BN$18,MATCH(Summary!AW$1,'RA7-Mine Infrastructure Area'!$A$9:$BN$9,1),FALSE),0)+IFERROR(VLOOKUP($B19,'RA8-Water Management Structures'!$A$11:$BN$18,MATCH(Summary!AW$1,'RA8-Water Management Structures'!$A$9:$BN$9,1),FALSE),0)+IFERROR(VLOOKUP($B19,'RA9-Codisposal Upper'!$A$11:$BN$18,MATCH(Summary!AW$1,'RA9-Codisposal Upper'!$A$9:$BN$9,1),FALSE),0)+IFERROR(VLOOKUP($B19,'RA10-Codisposal Slopes'!$A$11:$BN$18,MATCH(Summary!AW$1,'RA10-Codisposal Slopes'!$A$9:$BN$9,1),FALSE),0)+IFERROR(VLOOKUP($B19,'IA1-Final Void inc Ramps'!$A$11:$BN$18,MATCH(Summary!AW$1,'IA1-Final Void inc Ramps'!$A$9:$BN$9,1),FALSE),0)</f>
        <v>569.90300000000002</v>
      </c>
      <c r="AX19" s="51">
        <f>IFERROR(VLOOKUP($B19,'RA1- Elevated Dumps Upper'!$A$11:$BN$18,MATCH(Summary!AX$1,'RA1- Elevated Dumps Upper'!$A$9:$BN$9,1),FALSE),0)+IFERROR(VLOOKUP($B19,'RA2-Elevated Dumps Slopes'!$A$11:$BN$18,MATCH(Summary!AX$1,'RA2-Elevated Dumps Slopes'!$A$9:$BN$9,1),FALSE),0)+IFERROR(VLOOKUP($B19,'RA3-Backfilled Pits'!$A$11:$BN$18,MATCH(Summary!AX$1,'RA3-Backfilled Pits'!$A$9:$BN$9,1),FALSE),0)+IFERROR(VLOOKUP($B19,'RA4-Tracks_Roads'!$A$11:$BN$18,MATCH(Summary!AX$1,'RA4-Tracks_Roads'!$A$9:$BN$9,1),FALSE),0)+IFERROR(VLOOKUP($B19,'RA5-ROM'!$A$11:$BN$18,MATCH(Summary!AX$1,'RA5-ROM'!$A$9:$BN$9,1),FALSE),0)+IFERROR(VLOOKUP($B19,'RA6-CHPP'!$A$11:$BN$18,MATCH(Summary!AX$1,'RA6-CHPP'!$A$9:$BN$9,1),FALSE),0)+IFERROR(VLOOKUP($B19,'RA7-Mine Infrastructure Area'!$A$11:$BN$18,MATCH(Summary!AX$1,'RA7-Mine Infrastructure Area'!$A$9:$BN$9,1),FALSE),0)+IFERROR(VLOOKUP($B19,'RA8-Water Management Structures'!$A$11:$BN$18,MATCH(Summary!AX$1,'RA8-Water Management Structures'!$A$9:$BN$9,1),FALSE),0)+IFERROR(VLOOKUP($B19,'RA9-Codisposal Upper'!$A$11:$BN$18,MATCH(Summary!AX$1,'RA9-Codisposal Upper'!$A$9:$BN$9,1),FALSE),0)+IFERROR(VLOOKUP($B19,'RA10-Codisposal Slopes'!$A$11:$BN$18,MATCH(Summary!AX$1,'RA10-Codisposal Slopes'!$A$9:$BN$9,1),FALSE),0)+IFERROR(VLOOKUP($B19,'IA1-Final Void inc Ramps'!$A$11:$BN$18,MATCH(Summary!AX$1,'IA1-Final Void inc Ramps'!$A$9:$BN$9,1),FALSE),0)</f>
        <v>569.90300000000002</v>
      </c>
      <c r="AY19" s="51">
        <f>IFERROR(VLOOKUP($B19,'RA1- Elevated Dumps Upper'!$A$11:$BN$18,MATCH(Summary!AY$1,'RA1- Elevated Dumps Upper'!$A$9:$BN$9,1),FALSE),0)+IFERROR(VLOOKUP($B19,'RA2-Elevated Dumps Slopes'!$A$11:$BN$18,MATCH(Summary!AY$1,'RA2-Elevated Dumps Slopes'!$A$9:$BN$9,1),FALSE),0)+IFERROR(VLOOKUP($B19,'RA3-Backfilled Pits'!$A$11:$BN$18,MATCH(Summary!AY$1,'RA3-Backfilled Pits'!$A$9:$BN$9,1),FALSE),0)+IFERROR(VLOOKUP($B19,'RA4-Tracks_Roads'!$A$11:$BN$18,MATCH(Summary!AY$1,'RA4-Tracks_Roads'!$A$9:$BN$9,1),FALSE),0)+IFERROR(VLOOKUP($B19,'RA5-ROM'!$A$11:$BN$18,MATCH(Summary!AY$1,'RA5-ROM'!$A$9:$BN$9,1),FALSE),0)+IFERROR(VLOOKUP($B19,'RA6-CHPP'!$A$11:$BN$18,MATCH(Summary!AY$1,'RA6-CHPP'!$A$9:$BN$9,1),FALSE),0)+IFERROR(VLOOKUP($B19,'RA7-Mine Infrastructure Area'!$A$11:$BN$18,MATCH(Summary!AY$1,'RA7-Mine Infrastructure Area'!$A$9:$BN$9,1),FALSE),0)+IFERROR(VLOOKUP($B19,'RA8-Water Management Structures'!$A$11:$BN$18,MATCH(Summary!AY$1,'RA8-Water Management Structures'!$A$9:$BN$9,1),FALSE),0)+IFERROR(VLOOKUP($B19,'RA9-Codisposal Upper'!$A$11:$BN$18,MATCH(Summary!AY$1,'RA9-Codisposal Upper'!$A$9:$BN$9,1),FALSE),0)+IFERROR(VLOOKUP($B19,'RA10-Codisposal Slopes'!$A$11:$BN$18,MATCH(Summary!AY$1,'RA10-Codisposal Slopes'!$A$9:$BN$9,1),FALSE),0)+IFERROR(VLOOKUP($B19,'IA1-Final Void inc Ramps'!$A$11:$BN$18,MATCH(Summary!AY$1,'IA1-Final Void inc Ramps'!$A$9:$BN$9,1),FALSE),0)</f>
        <v>569.90300000000002</v>
      </c>
      <c r="AZ19" s="51">
        <f>IFERROR(VLOOKUP($B19,'RA1- Elevated Dumps Upper'!$A$11:$BN$18,MATCH(Summary!AZ$1,'RA1- Elevated Dumps Upper'!$A$9:$BN$9,1),FALSE),0)+IFERROR(VLOOKUP($B19,'RA2-Elevated Dumps Slopes'!$A$11:$BN$18,MATCH(Summary!AZ$1,'RA2-Elevated Dumps Slopes'!$A$9:$BN$9,1),FALSE),0)+IFERROR(VLOOKUP($B19,'RA3-Backfilled Pits'!$A$11:$BN$18,MATCH(Summary!AZ$1,'RA3-Backfilled Pits'!$A$9:$BN$9,1),FALSE),0)+IFERROR(VLOOKUP($B19,'RA4-Tracks_Roads'!$A$11:$BN$18,MATCH(Summary!AZ$1,'RA4-Tracks_Roads'!$A$9:$BN$9,1),FALSE),0)+IFERROR(VLOOKUP($B19,'RA5-ROM'!$A$11:$BN$18,MATCH(Summary!AZ$1,'RA5-ROM'!$A$9:$BN$9,1),FALSE),0)+IFERROR(VLOOKUP($B19,'RA6-CHPP'!$A$11:$BN$18,MATCH(Summary!AZ$1,'RA6-CHPP'!$A$9:$BN$9,1),FALSE),0)+IFERROR(VLOOKUP($B19,'RA7-Mine Infrastructure Area'!$A$11:$BN$18,MATCH(Summary!AZ$1,'RA7-Mine Infrastructure Area'!$A$9:$BN$9,1),FALSE),0)+IFERROR(VLOOKUP($B19,'RA8-Water Management Structures'!$A$11:$BN$18,MATCH(Summary!AZ$1,'RA8-Water Management Structures'!$A$9:$BN$9,1),FALSE),0)+IFERROR(VLOOKUP($B19,'RA9-Codisposal Upper'!$A$11:$BN$18,MATCH(Summary!AZ$1,'RA9-Codisposal Upper'!$A$9:$BN$9,1),FALSE),0)+IFERROR(VLOOKUP($B19,'RA10-Codisposal Slopes'!$A$11:$BN$18,MATCH(Summary!AZ$1,'RA10-Codisposal Slopes'!$A$9:$BN$9,1),FALSE),0)+IFERROR(VLOOKUP($B19,'IA1-Final Void inc Ramps'!$A$11:$BN$18,MATCH(Summary!AZ$1,'IA1-Final Void inc Ramps'!$A$9:$BN$9,1),FALSE),0)</f>
        <v>569.90300000000002</v>
      </c>
      <c r="BA19" s="51">
        <f>IFERROR(VLOOKUP($B19,'RA1- Elevated Dumps Upper'!$A$11:$BN$18,MATCH(Summary!BA$1,'RA1- Elevated Dumps Upper'!$A$9:$BN$9,1),FALSE),0)+IFERROR(VLOOKUP($B19,'RA2-Elevated Dumps Slopes'!$A$11:$BN$18,MATCH(Summary!BA$1,'RA2-Elevated Dumps Slopes'!$A$9:$BN$9,1),FALSE),0)+IFERROR(VLOOKUP($B19,'RA3-Backfilled Pits'!$A$11:$BN$18,MATCH(Summary!BA$1,'RA3-Backfilled Pits'!$A$9:$BN$9,1),FALSE),0)+IFERROR(VLOOKUP($B19,'RA4-Tracks_Roads'!$A$11:$BN$18,MATCH(Summary!BA$1,'RA4-Tracks_Roads'!$A$9:$BN$9,1),FALSE),0)+IFERROR(VLOOKUP($B19,'RA5-ROM'!$A$11:$BN$18,MATCH(Summary!BA$1,'RA5-ROM'!$A$9:$BN$9,1),FALSE),0)+IFERROR(VLOOKUP($B19,'RA6-CHPP'!$A$11:$BN$18,MATCH(Summary!BA$1,'RA6-CHPP'!$A$9:$BN$9,1),FALSE),0)+IFERROR(VLOOKUP($B19,'RA7-Mine Infrastructure Area'!$A$11:$BN$18,MATCH(Summary!BA$1,'RA7-Mine Infrastructure Area'!$A$9:$BN$9,1),FALSE),0)+IFERROR(VLOOKUP($B19,'RA8-Water Management Structures'!$A$11:$BN$18,MATCH(Summary!BA$1,'RA8-Water Management Structures'!$A$9:$BN$9,1),FALSE),0)+IFERROR(VLOOKUP($B19,'RA9-Codisposal Upper'!$A$11:$BN$18,MATCH(Summary!BA$1,'RA9-Codisposal Upper'!$A$9:$BN$9,1),FALSE),0)+IFERROR(VLOOKUP($B19,'RA10-Codisposal Slopes'!$A$11:$BN$18,MATCH(Summary!BA$1,'RA10-Codisposal Slopes'!$A$9:$BN$9,1),FALSE),0)+IFERROR(VLOOKUP($B19,'IA1-Final Void inc Ramps'!$A$11:$BN$18,MATCH(Summary!BA$1,'IA1-Final Void inc Ramps'!$A$9:$BN$9,1),FALSE),0)</f>
        <v>569.90300000000002</v>
      </c>
      <c r="BB19" s="51">
        <f>IFERROR(VLOOKUP($B19,'RA1- Elevated Dumps Upper'!$A$11:$BN$18,MATCH(Summary!BB$1,'RA1- Elevated Dumps Upper'!$A$9:$BN$9,1),FALSE),0)+IFERROR(VLOOKUP($B19,'RA2-Elevated Dumps Slopes'!$A$11:$BN$18,MATCH(Summary!BB$1,'RA2-Elevated Dumps Slopes'!$A$9:$BN$9,1),FALSE),0)+IFERROR(VLOOKUP($B19,'RA3-Backfilled Pits'!$A$11:$BN$18,MATCH(Summary!BB$1,'RA3-Backfilled Pits'!$A$9:$BN$9,1),FALSE),0)+IFERROR(VLOOKUP($B19,'RA4-Tracks_Roads'!$A$11:$BN$18,MATCH(Summary!BB$1,'RA4-Tracks_Roads'!$A$9:$BN$9,1),FALSE),0)+IFERROR(VLOOKUP($B19,'RA5-ROM'!$A$11:$BN$18,MATCH(Summary!BB$1,'RA5-ROM'!$A$9:$BN$9,1),FALSE),0)+IFERROR(VLOOKUP($B19,'RA6-CHPP'!$A$11:$BN$18,MATCH(Summary!BB$1,'RA6-CHPP'!$A$9:$BN$9,1),FALSE),0)+IFERROR(VLOOKUP($B19,'RA7-Mine Infrastructure Area'!$A$11:$BN$18,MATCH(Summary!BB$1,'RA7-Mine Infrastructure Area'!$A$9:$BN$9,1),FALSE),0)+IFERROR(VLOOKUP($B19,'RA8-Water Management Structures'!$A$11:$BN$18,MATCH(Summary!BB$1,'RA8-Water Management Structures'!$A$9:$BN$9,1),FALSE),0)+IFERROR(VLOOKUP($B19,'RA9-Codisposal Upper'!$A$11:$BN$18,MATCH(Summary!BB$1,'RA9-Codisposal Upper'!$A$9:$BN$9,1),FALSE),0)+IFERROR(VLOOKUP($B19,'RA10-Codisposal Slopes'!$A$11:$BN$18,MATCH(Summary!BB$1,'RA10-Codisposal Slopes'!$A$9:$BN$9,1),FALSE),0)+IFERROR(VLOOKUP($B19,'IA1-Final Void inc Ramps'!$A$11:$BN$18,MATCH(Summary!BB$1,'IA1-Final Void inc Ramps'!$A$9:$BN$9,1),FALSE),0)</f>
        <v>569.90300000000002</v>
      </c>
      <c r="BC19" s="51">
        <f>IFERROR(VLOOKUP($B19,'RA1- Elevated Dumps Upper'!$A$11:$BN$18,MATCH(Summary!BC$1,'RA1- Elevated Dumps Upper'!$A$9:$BN$9,1),FALSE),0)+IFERROR(VLOOKUP($B19,'RA2-Elevated Dumps Slopes'!$A$11:$BN$18,MATCH(Summary!BC$1,'RA2-Elevated Dumps Slopes'!$A$9:$BN$9,1),FALSE),0)+IFERROR(VLOOKUP($B19,'RA3-Backfilled Pits'!$A$11:$BN$18,MATCH(Summary!BC$1,'RA3-Backfilled Pits'!$A$9:$BN$9,1),FALSE),0)+IFERROR(VLOOKUP($B19,'RA4-Tracks_Roads'!$A$11:$BN$18,MATCH(Summary!BC$1,'RA4-Tracks_Roads'!$A$9:$BN$9,1),FALSE),0)+IFERROR(VLOOKUP($B19,'RA5-ROM'!$A$11:$BN$18,MATCH(Summary!BC$1,'RA5-ROM'!$A$9:$BN$9,1),FALSE),0)+IFERROR(VLOOKUP($B19,'RA6-CHPP'!$A$11:$BN$18,MATCH(Summary!BC$1,'RA6-CHPP'!$A$9:$BN$9,1),FALSE),0)+IFERROR(VLOOKUP($B19,'RA7-Mine Infrastructure Area'!$A$11:$BN$18,MATCH(Summary!BC$1,'RA7-Mine Infrastructure Area'!$A$9:$BN$9,1),FALSE),0)+IFERROR(VLOOKUP($B19,'RA8-Water Management Structures'!$A$11:$BN$18,MATCH(Summary!BC$1,'RA8-Water Management Structures'!$A$9:$BN$9,1),FALSE),0)+IFERROR(VLOOKUP($B19,'RA9-Codisposal Upper'!$A$11:$BN$18,MATCH(Summary!BC$1,'RA9-Codisposal Upper'!$A$9:$BN$9,1),FALSE),0)+IFERROR(VLOOKUP($B19,'RA10-Codisposal Slopes'!$A$11:$BN$18,MATCH(Summary!BC$1,'RA10-Codisposal Slopes'!$A$9:$BN$9,1),FALSE),0)+IFERROR(VLOOKUP($B19,'IA1-Final Void inc Ramps'!$A$11:$BN$18,MATCH(Summary!BC$1,'IA1-Final Void inc Ramps'!$A$9:$BN$9,1),FALSE),0)</f>
        <v>569.90300000000002</v>
      </c>
      <c r="BD19" s="51">
        <f>IFERROR(VLOOKUP($B19,'RA1- Elevated Dumps Upper'!$A$11:$BN$18,MATCH(Summary!BD$1,'RA1- Elevated Dumps Upper'!$A$9:$BN$9,1),FALSE),0)+IFERROR(VLOOKUP($B19,'RA2-Elevated Dumps Slopes'!$A$11:$BN$18,MATCH(Summary!BD$1,'RA2-Elevated Dumps Slopes'!$A$9:$BN$9,1),FALSE),0)+IFERROR(VLOOKUP($B19,'RA3-Backfilled Pits'!$A$11:$BN$18,MATCH(Summary!BD$1,'RA3-Backfilled Pits'!$A$9:$BN$9,1),FALSE),0)+IFERROR(VLOOKUP($B19,'RA4-Tracks_Roads'!$A$11:$BN$18,MATCH(Summary!BD$1,'RA4-Tracks_Roads'!$A$9:$BN$9,1),FALSE),0)+IFERROR(VLOOKUP($B19,'RA5-ROM'!$A$11:$BN$18,MATCH(Summary!BD$1,'RA5-ROM'!$A$9:$BN$9,1),FALSE),0)+IFERROR(VLOOKUP($B19,'RA6-CHPP'!$A$11:$BN$18,MATCH(Summary!BD$1,'RA6-CHPP'!$A$9:$BN$9,1),FALSE),0)+IFERROR(VLOOKUP($B19,'RA7-Mine Infrastructure Area'!$A$11:$BN$18,MATCH(Summary!BD$1,'RA7-Mine Infrastructure Area'!$A$9:$BN$9,1),FALSE),0)+IFERROR(VLOOKUP($B19,'RA8-Water Management Structures'!$A$11:$BN$18,MATCH(Summary!BD$1,'RA8-Water Management Structures'!$A$9:$BN$9,1),FALSE),0)+IFERROR(VLOOKUP($B19,'RA9-Codisposal Upper'!$A$11:$BN$18,MATCH(Summary!BD$1,'RA9-Codisposal Upper'!$A$9:$BN$9,1),FALSE),0)+IFERROR(VLOOKUP($B19,'RA10-Codisposal Slopes'!$A$11:$BN$18,MATCH(Summary!BD$1,'RA10-Codisposal Slopes'!$A$9:$BN$9,1),FALSE),0)+IFERROR(VLOOKUP($B19,'IA1-Final Void inc Ramps'!$A$11:$BN$18,MATCH(Summary!BD$1,'IA1-Final Void inc Ramps'!$A$9:$BN$9,1),FALSE),0)</f>
        <v>569.90300000000002</v>
      </c>
      <c r="BE19" s="51">
        <f>IFERROR(VLOOKUP($B19,'RA1- Elevated Dumps Upper'!$A$11:$BN$18,MATCH(Summary!BE$1,'RA1- Elevated Dumps Upper'!$A$9:$BN$9,1),FALSE),0)+IFERROR(VLOOKUP($B19,'RA2-Elevated Dumps Slopes'!$A$11:$BN$18,MATCH(Summary!BE$1,'RA2-Elevated Dumps Slopes'!$A$9:$BN$9,1),FALSE),0)+IFERROR(VLOOKUP($B19,'RA3-Backfilled Pits'!$A$11:$BN$18,MATCH(Summary!BE$1,'RA3-Backfilled Pits'!$A$9:$BN$9,1),FALSE),0)+IFERROR(VLOOKUP($B19,'RA4-Tracks_Roads'!$A$11:$BN$18,MATCH(Summary!BE$1,'RA4-Tracks_Roads'!$A$9:$BN$9,1),FALSE),0)+IFERROR(VLOOKUP($B19,'RA5-ROM'!$A$11:$BN$18,MATCH(Summary!BE$1,'RA5-ROM'!$A$9:$BN$9,1),FALSE),0)+IFERROR(VLOOKUP($B19,'RA6-CHPP'!$A$11:$BN$18,MATCH(Summary!BE$1,'RA6-CHPP'!$A$9:$BN$9,1),FALSE),0)+IFERROR(VLOOKUP($B19,'RA7-Mine Infrastructure Area'!$A$11:$BN$18,MATCH(Summary!BE$1,'RA7-Mine Infrastructure Area'!$A$9:$BN$9,1),FALSE),0)+IFERROR(VLOOKUP($B19,'RA8-Water Management Structures'!$A$11:$BN$18,MATCH(Summary!BE$1,'RA8-Water Management Structures'!$A$9:$BN$9,1),FALSE),0)+IFERROR(VLOOKUP($B19,'RA9-Codisposal Upper'!$A$11:$BN$18,MATCH(Summary!BE$1,'RA9-Codisposal Upper'!$A$9:$BN$9,1),FALSE),0)+IFERROR(VLOOKUP($B19,'RA10-Codisposal Slopes'!$A$11:$BN$18,MATCH(Summary!BE$1,'RA10-Codisposal Slopes'!$A$9:$BN$9,1),FALSE),0)+IFERROR(VLOOKUP($B19,'IA1-Final Void inc Ramps'!$A$11:$BN$18,MATCH(Summary!BE$1,'IA1-Final Void inc Ramps'!$A$9:$BN$9,1),FALSE),0)</f>
        <v>569.90300000000002</v>
      </c>
      <c r="BF19" s="51">
        <f>IFERROR(VLOOKUP($B19,'RA1- Elevated Dumps Upper'!$A$11:$BN$18,MATCH(Summary!BF$1,'RA1- Elevated Dumps Upper'!$A$9:$BN$9,1),FALSE),0)+IFERROR(VLOOKUP($B19,'RA2-Elevated Dumps Slopes'!$A$11:$BN$18,MATCH(Summary!BF$1,'RA2-Elevated Dumps Slopes'!$A$9:$BN$9,1),FALSE),0)+IFERROR(VLOOKUP($B19,'RA3-Backfilled Pits'!$A$11:$BN$18,MATCH(Summary!BF$1,'RA3-Backfilled Pits'!$A$9:$BN$9,1),FALSE),0)+IFERROR(VLOOKUP($B19,'RA4-Tracks_Roads'!$A$11:$BN$18,MATCH(Summary!BF$1,'RA4-Tracks_Roads'!$A$9:$BN$9,1),FALSE),0)+IFERROR(VLOOKUP($B19,'RA5-ROM'!$A$11:$BN$18,MATCH(Summary!BF$1,'RA5-ROM'!$A$9:$BN$9,1),FALSE),0)+IFERROR(VLOOKUP($B19,'RA6-CHPP'!$A$11:$BN$18,MATCH(Summary!BF$1,'RA6-CHPP'!$A$9:$BN$9,1),FALSE),0)+IFERROR(VLOOKUP($B19,'RA7-Mine Infrastructure Area'!$A$11:$BN$18,MATCH(Summary!BF$1,'RA7-Mine Infrastructure Area'!$A$9:$BN$9,1),FALSE),0)+IFERROR(VLOOKUP($B19,'RA8-Water Management Structures'!$A$11:$BN$18,MATCH(Summary!BF$1,'RA8-Water Management Structures'!$A$9:$BN$9,1),FALSE),0)+IFERROR(VLOOKUP($B19,'RA9-Codisposal Upper'!$A$11:$BN$18,MATCH(Summary!BF$1,'RA9-Codisposal Upper'!$A$9:$BN$9,1),FALSE),0)+IFERROR(VLOOKUP($B19,'RA10-Codisposal Slopes'!$A$11:$BN$18,MATCH(Summary!BF$1,'RA10-Codisposal Slopes'!$A$9:$BN$9,1),FALSE),0)+IFERROR(VLOOKUP($B19,'IA1-Final Void inc Ramps'!$A$11:$BN$18,MATCH(Summary!BF$1,'IA1-Final Void inc Ramps'!$A$9:$BN$9,1),FALSE),0)</f>
        <v>569.90300000000002</v>
      </c>
      <c r="BG19" s="51">
        <f>IFERROR(VLOOKUP($B19,'RA1- Elevated Dumps Upper'!$A$11:$BN$18,MATCH(Summary!BG$1,'RA1- Elevated Dumps Upper'!$A$9:$BN$9,1),FALSE),0)+IFERROR(VLOOKUP($B19,'RA2-Elevated Dumps Slopes'!$A$11:$BN$18,MATCH(Summary!BG$1,'RA2-Elevated Dumps Slopes'!$A$9:$BN$9,1),FALSE),0)+IFERROR(VLOOKUP($B19,'RA3-Backfilled Pits'!$A$11:$BN$18,MATCH(Summary!BG$1,'RA3-Backfilled Pits'!$A$9:$BN$9,1),FALSE),0)+IFERROR(VLOOKUP($B19,'RA4-Tracks_Roads'!$A$11:$BN$18,MATCH(Summary!BG$1,'RA4-Tracks_Roads'!$A$9:$BN$9,1),FALSE),0)+IFERROR(VLOOKUP($B19,'RA5-ROM'!$A$11:$BN$18,MATCH(Summary!BG$1,'RA5-ROM'!$A$9:$BN$9,1),FALSE),0)+IFERROR(VLOOKUP($B19,'RA6-CHPP'!$A$11:$BN$18,MATCH(Summary!BG$1,'RA6-CHPP'!$A$9:$BN$9,1),FALSE),0)+IFERROR(VLOOKUP($B19,'RA7-Mine Infrastructure Area'!$A$11:$BN$18,MATCH(Summary!BG$1,'RA7-Mine Infrastructure Area'!$A$9:$BN$9,1),FALSE),0)+IFERROR(VLOOKUP($B19,'RA8-Water Management Structures'!$A$11:$BN$18,MATCH(Summary!BG$1,'RA8-Water Management Structures'!$A$9:$BN$9,1),FALSE),0)+IFERROR(VLOOKUP($B19,'RA9-Codisposal Upper'!$A$11:$BN$18,MATCH(Summary!BG$1,'RA9-Codisposal Upper'!$A$9:$BN$9,1),FALSE),0)+IFERROR(VLOOKUP($B19,'RA10-Codisposal Slopes'!$A$11:$BN$18,MATCH(Summary!BG$1,'RA10-Codisposal Slopes'!$A$9:$BN$9,1),FALSE),0)+IFERROR(VLOOKUP($B19,'IA1-Final Void inc Ramps'!$A$11:$BN$18,MATCH(Summary!BG$1,'IA1-Final Void inc Ramps'!$A$9:$BN$9,1),FALSE),0)</f>
        <v>569.90300000000002</v>
      </c>
      <c r="BH19" s="51">
        <f>IFERROR(VLOOKUP($B19,'RA1- Elevated Dumps Upper'!$A$11:$BN$18,MATCH(Summary!BH$1,'RA1- Elevated Dumps Upper'!$A$9:$BN$9,1),FALSE),0)+IFERROR(VLOOKUP($B19,'RA2-Elevated Dumps Slopes'!$A$11:$BN$18,MATCH(Summary!BH$1,'RA2-Elevated Dumps Slopes'!$A$9:$BN$9,1),FALSE),0)+IFERROR(VLOOKUP($B19,'RA3-Backfilled Pits'!$A$11:$BN$18,MATCH(Summary!BH$1,'RA3-Backfilled Pits'!$A$9:$BN$9,1),FALSE),0)+IFERROR(VLOOKUP($B19,'RA4-Tracks_Roads'!$A$11:$BN$18,MATCH(Summary!BH$1,'RA4-Tracks_Roads'!$A$9:$BN$9,1),FALSE),0)+IFERROR(VLOOKUP($B19,'RA5-ROM'!$A$11:$BN$18,MATCH(Summary!BH$1,'RA5-ROM'!$A$9:$BN$9,1),FALSE),0)+IFERROR(VLOOKUP($B19,'RA6-CHPP'!$A$11:$BN$18,MATCH(Summary!BH$1,'RA6-CHPP'!$A$9:$BN$9,1),FALSE),0)+IFERROR(VLOOKUP($B19,'RA7-Mine Infrastructure Area'!$A$11:$BN$18,MATCH(Summary!BH$1,'RA7-Mine Infrastructure Area'!$A$9:$BN$9,1),FALSE),0)+IFERROR(VLOOKUP($B19,'RA8-Water Management Structures'!$A$11:$BN$18,MATCH(Summary!BH$1,'RA8-Water Management Structures'!$A$9:$BN$9,1),FALSE),0)+IFERROR(VLOOKUP($B19,'RA9-Codisposal Upper'!$A$11:$BN$18,MATCH(Summary!BH$1,'RA9-Codisposal Upper'!$A$9:$BN$9,1),FALSE),0)+IFERROR(VLOOKUP($B19,'RA10-Codisposal Slopes'!$A$11:$BN$18,MATCH(Summary!BH$1,'RA10-Codisposal Slopes'!$A$9:$BN$9,1),FALSE),0)+IFERROR(VLOOKUP($B19,'IA1-Final Void inc Ramps'!$A$11:$BN$18,MATCH(Summary!BH$1,'IA1-Final Void inc Ramps'!$A$9:$BN$9,1),FALSE),0)</f>
        <v>569.90300000000002</v>
      </c>
      <c r="BI19" s="51">
        <f>IFERROR(VLOOKUP($B19,'RA1- Elevated Dumps Upper'!$A$11:$BN$18,MATCH(Summary!BI$1,'RA1- Elevated Dumps Upper'!$A$9:$BN$9,1),FALSE),0)+IFERROR(VLOOKUP($B19,'RA2-Elevated Dumps Slopes'!$A$11:$BN$18,MATCH(Summary!BI$1,'RA2-Elevated Dumps Slopes'!$A$9:$BN$9,1),FALSE),0)+IFERROR(VLOOKUP($B19,'RA3-Backfilled Pits'!$A$11:$BN$18,MATCH(Summary!BI$1,'RA3-Backfilled Pits'!$A$9:$BN$9,1),FALSE),0)+IFERROR(VLOOKUP($B19,'RA4-Tracks_Roads'!$A$11:$BN$18,MATCH(Summary!BI$1,'RA4-Tracks_Roads'!$A$9:$BN$9,1),FALSE),0)+IFERROR(VLOOKUP($B19,'RA5-ROM'!$A$11:$BN$18,MATCH(Summary!BI$1,'RA5-ROM'!$A$9:$BN$9,1),FALSE),0)+IFERROR(VLOOKUP($B19,'RA6-CHPP'!$A$11:$BN$18,MATCH(Summary!BI$1,'RA6-CHPP'!$A$9:$BN$9,1),FALSE),0)+IFERROR(VLOOKUP($B19,'RA7-Mine Infrastructure Area'!$A$11:$BN$18,MATCH(Summary!BI$1,'RA7-Mine Infrastructure Area'!$A$9:$BN$9,1),FALSE),0)+IFERROR(VLOOKUP($B19,'RA8-Water Management Structures'!$A$11:$BN$18,MATCH(Summary!BI$1,'RA8-Water Management Structures'!$A$9:$BN$9,1),FALSE),0)+IFERROR(VLOOKUP($B19,'RA9-Codisposal Upper'!$A$11:$BN$18,MATCH(Summary!BI$1,'RA9-Codisposal Upper'!$A$9:$BN$9,1),FALSE),0)+IFERROR(VLOOKUP($B19,'RA10-Codisposal Slopes'!$A$11:$BN$18,MATCH(Summary!BI$1,'RA10-Codisposal Slopes'!$A$9:$BN$9,1),FALSE),0)+IFERROR(VLOOKUP($B19,'IA1-Final Void inc Ramps'!$A$11:$BN$18,MATCH(Summary!BI$1,'IA1-Final Void inc Ramps'!$A$9:$BN$9,1),FALSE),0)</f>
        <v>569.90300000000002</v>
      </c>
      <c r="BJ19" s="51">
        <f>IFERROR(VLOOKUP($B19,'RA1- Elevated Dumps Upper'!$A$11:$BN$18,MATCH(Summary!BJ$1,'RA1- Elevated Dumps Upper'!$A$9:$BN$9,1),FALSE),0)+IFERROR(VLOOKUP($B19,'RA2-Elevated Dumps Slopes'!$A$11:$BN$18,MATCH(Summary!BJ$1,'RA2-Elevated Dumps Slopes'!$A$9:$BN$9,1),FALSE),0)+IFERROR(VLOOKUP($B19,'RA3-Backfilled Pits'!$A$11:$BN$18,MATCH(Summary!BJ$1,'RA3-Backfilled Pits'!$A$9:$BN$9,1),FALSE),0)+IFERROR(VLOOKUP($B19,'RA4-Tracks_Roads'!$A$11:$BN$18,MATCH(Summary!BJ$1,'RA4-Tracks_Roads'!$A$9:$BN$9,1),FALSE),0)+IFERROR(VLOOKUP($B19,'RA5-ROM'!$A$11:$BN$18,MATCH(Summary!BJ$1,'RA5-ROM'!$A$9:$BN$9,1),FALSE),0)+IFERROR(VLOOKUP($B19,'RA6-CHPP'!$A$11:$BN$18,MATCH(Summary!BJ$1,'RA6-CHPP'!$A$9:$BN$9,1),FALSE),0)+IFERROR(VLOOKUP($B19,'RA7-Mine Infrastructure Area'!$A$11:$BN$18,MATCH(Summary!BJ$1,'RA7-Mine Infrastructure Area'!$A$9:$BN$9,1),FALSE),0)+IFERROR(VLOOKUP($B19,'RA8-Water Management Structures'!$A$11:$BN$18,MATCH(Summary!BJ$1,'RA8-Water Management Structures'!$A$9:$BN$9,1),FALSE),0)+IFERROR(VLOOKUP($B19,'RA9-Codisposal Upper'!$A$11:$BN$18,MATCH(Summary!BJ$1,'RA9-Codisposal Upper'!$A$9:$BN$9,1),FALSE),0)+IFERROR(VLOOKUP($B19,'RA10-Codisposal Slopes'!$A$11:$BN$18,MATCH(Summary!BJ$1,'RA10-Codisposal Slopes'!$A$9:$BN$9,1),FALSE),0)+IFERROR(VLOOKUP($B19,'IA1-Final Void inc Ramps'!$A$11:$BN$18,MATCH(Summary!BJ$1,'IA1-Final Void inc Ramps'!$A$9:$BN$9,1),FALSE),0)</f>
        <v>569.90300000000002</v>
      </c>
      <c r="BK19" s="51">
        <f>IFERROR(VLOOKUP($B19,'RA1- Elevated Dumps Upper'!$A$11:$BN$18,MATCH(Summary!BK$1,'RA1- Elevated Dumps Upper'!$A$9:$BN$9,1),FALSE),0)+IFERROR(VLOOKUP($B19,'RA2-Elevated Dumps Slopes'!$A$11:$BN$18,MATCH(Summary!BK$1,'RA2-Elevated Dumps Slopes'!$A$9:$BN$9,1),FALSE),0)+IFERROR(VLOOKUP($B19,'RA3-Backfilled Pits'!$A$11:$BN$18,MATCH(Summary!BK$1,'RA3-Backfilled Pits'!$A$9:$BN$9,1),FALSE),0)+IFERROR(VLOOKUP($B19,'RA4-Tracks_Roads'!$A$11:$BN$18,MATCH(Summary!BK$1,'RA4-Tracks_Roads'!$A$9:$BN$9,1),FALSE),0)+IFERROR(VLOOKUP($B19,'RA5-ROM'!$A$11:$BN$18,MATCH(Summary!BK$1,'RA5-ROM'!$A$9:$BN$9,1),FALSE),0)+IFERROR(VLOOKUP($B19,'RA6-CHPP'!$A$11:$BN$18,MATCH(Summary!BK$1,'RA6-CHPP'!$A$9:$BN$9,1),FALSE),0)+IFERROR(VLOOKUP($B19,'RA7-Mine Infrastructure Area'!$A$11:$BN$18,MATCH(Summary!BK$1,'RA7-Mine Infrastructure Area'!$A$9:$BN$9,1),FALSE),0)+IFERROR(VLOOKUP($B19,'RA8-Water Management Structures'!$A$11:$BN$18,MATCH(Summary!BK$1,'RA8-Water Management Structures'!$A$9:$BN$9,1),FALSE),0)+IFERROR(VLOOKUP($B19,'RA9-Codisposal Upper'!$A$11:$BN$18,MATCH(Summary!BK$1,'RA9-Codisposal Upper'!$A$9:$BN$9,1),FALSE),0)+IFERROR(VLOOKUP($B19,'RA10-Codisposal Slopes'!$A$11:$BN$18,MATCH(Summary!BK$1,'RA10-Codisposal Slopes'!$A$9:$BN$9,1),FALSE),0)+IFERROR(VLOOKUP($B19,'IA1-Final Void inc Ramps'!$A$11:$BN$18,MATCH(Summary!BK$1,'IA1-Final Void inc Ramps'!$A$9:$BN$9,1),FALSE),0)</f>
        <v>569.90300000000002</v>
      </c>
      <c r="BL19" s="51">
        <f>IFERROR(VLOOKUP($B19,'RA1- Elevated Dumps Upper'!$A$11:$BN$18,MATCH(Summary!BL$1,'RA1- Elevated Dumps Upper'!$A$9:$BN$9,1),FALSE),0)+IFERROR(VLOOKUP($B19,'RA2-Elevated Dumps Slopes'!$A$11:$BN$18,MATCH(Summary!BL$1,'RA2-Elevated Dumps Slopes'!$A$9:$BN$9,1),FALSE),0)+IFERROR(VLOOKUP($B19,'RA3-Backfilled Pits'!$A$11:$BN$18,MATCH(Summary!BL$1,'RA3-Backfilled Pits'!$A$9:$BN$9,1),FALSE),0)+IFERROR(VLOOKUP($B19,'RA4-Tracks_Roads'!$A$11:$BN$18,MATCH(Summary!BL$1,'RA4-Tracks_Roads'!$A$9:$BN$9,1),FALSE),0)+IFERROR(VLOOKUP($B19,'RA5-ROM'!$A$11:$BN$18,MATCH(Summary!BL$1,'RA5-ROM'!$A$9:$BN$9,1),FALSE),0)+IFERROR(VLOOKUP($B19,'RA6-CHPP'!$A$11:$BN$18,MATCH(Summary!BL$1,'RA6-CHPP'!$A$9:$BN$9,1),FALSE),0)+IFERROR(VLOOKUP($B19,'RA7-Mine Infrastructure Area'!$A$11:$BN$18,MATCH(Summary!BL$1,'RA7-Mine Infrastructure Area'!$A$9:$BN$9,1),FALSE),0)+IFERROR(VLOOKUP($B19,'RA8-Water Management Structures'!$A$11:$BN$18,MATCH(Summary!BL$1,'RA8-Water Management Structures'!$A$9:$BN$9,1),FALSE),0)+IFERROR(VLOOKUP($B19,'RA9-Codisposal Upper'!$A$11:$BN$18,MATCH(Summary!BL$1,'RA9-Codisposal Upper'!$A$9:$BN$9,1),FALSE),0)+IFERROR(VLOOKUP($B19,'RA10-Codisposal Slopes'!$A$11:$BN$18,MATCH(Summary!BL$1,'RA10-Codisposal Slopes'!$A$9:$BN$9,1),FALSE),0)+IFERROR(VLOOKUP($B19,'IA1-Final Void inc Ramps'!$A$11:$BN$18,MATCH(Summary!BL$1,'IA1-Final Void inc Ramps'!$A$9:$BN$9,1),FALSE),0)</f>
        <v>569.90300000000002</v>
      </c>
      <c r="BM19" s="51">
        <f>IFERROR(VLOOKUP($B19,'RA1- Elevated Dumps Upper'!$A$11:$BN$18,MATCH(Summary!BM$1,'RA1- Elevated Dumps Upper'!$A$9:$BN$9,1),FALSE),0)+IFERROR(VLOOKUP($B19,'RA2-Elevated Dumps Slopes'!$A$11:$BN$18,MATCH(Summary!BM$1,'RA2-Elevated Dumps Slopes'!$A$9:$BN$9,1),FALSE),0)+IFERROR(VLOOKUP($B19,'RA3-Backfilled Pits'!$A$11:$BN$18,MATCH(Summary!BM$1,'RA3-Backfilled Pits'!$A$9:$BN$9,1),FALSE),0)+IFERROR(VLOOKUP($B19,'RA4-Tracks_Roads'!$A$11:$BN$18,MATCH(Summary!BM$1,'RA4-Tracks_Roads'!$A$9:$BN$9,1),FALSE),0)+IFERROR(VLOOKUP($B19,'RA5-ROM'!$A$11:$BN$18,MATCH(Summary!BM$1,'RA5-ROM'!$A$9:$BN$9,1),FALSE),0)+IFERROR(VLOOKUP($B19,'RA6-CHPP'!$A$11:$BN$18,MATCH(Summary!BM$1,'RA6-CHPP'!$A$9:$BN$9,1),FALSE),0)+IFERROR(VLOOKUP($B19,'RA7-Mine Infrastructure Area'!$A$11:$BN$18,MATCH(Summary!BM$1,'RA7-Mine Infrastructure Area'!$A$9:$BN$9,1),FALSE),0)+IFERROR(VLOOKUP($B19,'RA8-Water Management Structures'!$A$11:$BN$18,MATCH(Summary!BM$1,'RA8-Water Management Structures'!$A$9:$BN$9,1),FALSE),0)+IFERROR(VLOOKUP($B19,'RA9-Codisposal Upper'!$A$11:$BN$18,MATCH(Summary!BM$1,'RA9-Codisposal Upper'!$A$9:$BN$9,1),FALSE),0)+IFERROR(VLOOKUP($B19,'RA10-Codisposal Slopes'!$A$11:$BN$18,MATCH(Summary!BM$1,'RA10-Codisposal Slopes'!$A$9:$BN$9,1),FALSE),0)+IFERROR(VLOOKUP($B19,'IA1-Final Void inc Ramps'!$A$11:$BN$18,MATCH(Summary!BM$1,'IA1-Final Void inc Ramps'!$A$9:$BN$9,1),FALSE),0)</f>
        <v>569.90300000000002</v>
      </c>
      <c r="BN19" s="51">
        <f>IFERROR(VLOOKUP($B19,'RA1- Elevated Dumps Upper'!$A$11:$BN$18,MATCH(Summary!BN$1,'RA1- Elevated Dumps Upper'!$A$9:$BN$9,1),FALSE),0)+IFERROR(VLOOKUP($B19,'RA2-Elevated Dumps Slopes'!$A$11:$BN$18,MATCH(Summary!BN$1,'RA2-Elevated Dumps Slopes'!$A$9:$BN$9,1),FALSE),0)+IFERROR(VLOOKUP($B19,'RA3-Backfilled Pits'!$A$11:$BN$18,MATCH(Summary!BN$1,'RA3-Backfilled Pits'!$A$9:$BN$9,1),FALSE),0)+IFERROR(VLOOKUP($B19,'RA4-Tracks_Roads'!$A$11:$BN$18,MATCH(Summary!BN$1,'RA4-Tracks_Roads'!$A$9:$BN$9,1),FALSE),0)+IFERROR(VLOOKUP($B19,'RA5-ROM'!$A$11:$BN$18,MATCH(Summary!BN$1,'RA5-ROM'!$A$9:$BN$9,1),FALSE),0)+IFERROR(VLOOKUP($B19,'RA6-CHPP'!$A$11:$BN$18,MATCH(Summary!BN$1,'RA6-CHPP'!$A$9:$BN$9,1),FALSE),0)+IFERROR(VLOOKUP($B19,'RA7-Mine Infrastructure Area'!$A$11:$BN$18,MATCH(Summary!BN$1,'RA7-Mine Infrastructure Area'!$A$9:$BN$9,1),FALSE),0)+IFERROR(VLOOKUP($B19,'RA8-Water Management Structures'!$A$11:$BN$18,MATCH(Summary!BN$1,'RA8-Water Management Structures'!$A$9:$BN$9,1),FALSE),0)+IFERROR(VLOOKUP($B19,'RA9-Codisposal Upper'!$A$11:$BN$18,MATCH(Summary!BN$1,'RA9-Codisposal Upper'!$A$9:$BN$9,1),FALSE),0)+IFERROR(VLOOKUP($B19,'RA10-Codisposal Slopes'!$A$11:$BN$18,MATCH(Summary!BN$1,'RA10-Codisposal Slopes'!$A$9:$BN$9,1),FALSE),0)+IFERROR(VLOOKUP($B19,'IA1-Final Void inc Ramps'!$A$11:$BN$18,MATCH(Summary!BN$1,'IA1-Final Void inc Ramps'!$A$9:$BN$9,1),FALSE),0)</f>
        <v>569.90300000000002</v>
      </c>
    </row>
    <row r="20" spans="1:66" x14ac:dyDescent="0.35">
      <c r="B20" t="s">
        <v>13</v>
      </c>
      <c r="D20" s="51">
        <f>IFERROR(VLOOKUP($B20,'RA1- Elevated Dumps Upper'!$A$11:$BN$18,MATCH(Summary!D$1,'RA1- Elevated Dumps Upper'!$A$9:$BN$9,1),FALSE),0)+IFERROR(VLOOKUP($B20,'RA2-Elevated Dumps Slopes'!$A$11:$BN$18,MATCH(Summary!D$1,'RA2-Elevated Dumps Slopes'!$A$9:$BN$9,1),FALSE),0)+IFERROR(VLOOKUP($B20,'RA3-Backfilled Pits'!$A$11:$BN$18,MATCH(Summary!D$1,'RA3-Backfilled Pits'!$A$9:$BN$9,1),FALSE),0)+IFERROR(VLOOKUP($B20,'RA4-Tracks_Roads'!$A$11:$BN$18,MATCH(Summary!D$1,'RA4-Tracks_Roads'!$A$9:$BN$9,1),FALSE),0)+IFERROR(VLOOKUP($B20,'RA5-ROM'!$A$11:$BN$18,MATCH(Summary!D$1,'RA5-ROM'!$A$9:$BN$9,1),FALSE),0)+IFERROR(VLOOKUP($B20,'RA6-CHPP'!$A$11:$BN$18,MATCH(Summary!D$1,'RA6-CHPP'!$A$9:$BN$9,1),FALSE),0)+IFERROR(VLOOKUP($B20,'RA7-Mine Infrastructure Area'!$A$11:$BN$18,MATCH(Summary!D$1,'RA7-Mine Infrastructure Area'!$A$9:$BN$9,1),FALSE),0)+IFERROR(VLOOKUP($B20,'RA8-Water Management Structures'!$A$11:$BN$18,MATCH(Summary!D$1,'RA8-Water Management Structures'!$A$9:$BN$9,1),FALSE),0)+IFERROR(VLOOKUP($B20,'RA9-Codisposal Upper'!$A$11:$BN$18,MATCH(Summary!D$1,'RA9-Codisposal Upper'!$A$9:$BN$9,1),FALSE),0)+IFERROR(VLOOKUP($B20,'RA10-Codisposal Slopes'!$A$11:$BN$18,MATCH(Summary!D$1,'RA10-Codisposal Slopes'!$A$9:$BN$9,1),FALSE),0)+IFERROR(VLOOKUP($B20,'IA1-Final Void inc Ramps'!$A$11:$BN$18,MATCH(Summary!D$1,'IA1-Final Void inc Ramps'!$A$9:$BN$9,1),FALSE),0)</f>
        <v>0</v>
      </c>
      <c r="E20" s="51">
        <f>IFERROR(VLOOKUP($B20,'RA1- Elevated Dumps Upper'!$A$11:$BN$18,MATCH(Summary!E$1,'RA1- Elevated Dumps Upper'!$A$9:$BN$9,1),FALSE),0)+IFERROR(VLOOKUP($B20,'RA2-Elevated Dumps Slopes'!$A$11:$BN$18,MATCH(Summary!E$1,'RA2-Elevated Dumps Slopes'!$A$9:$BN$9,1),FALSE),0)+IFERROR(VLOOKUP($B20,'RA3-Backfilled Pits'!$A$11:$BN$18,MATCH(Summary!E$1,'RA3-Backfilled Pits'!$A$9:$BN$9,1),FALSE),0)+IFERROR(VLOOKUP($B20,'RA4-Tracks_Roads'!$A$11:$BN$18,MATCH(Summary!E$1,'RA4-Tracks_Roads'!$A$9:$BN$9,1),FALSE),0)+IFERROR(VLOOKUP($B20,'RA5-ROM'!$A$11:$BN$18,MATCH(Summary!E$1,'RA5-ROM'!$A$9:$BN$9,1),FALSE),0)+IFERROR(VLOOKUP($B20,'RA6-CHPP'!$A$11:$BN$18,MATCH(Summary!E$1,'RA6-CHPP'!$A$9:$BN$9,1),FALSE),0)+IFERROR(VLOOKUP($B20,'RA7-Mine Infrastructure Area'!$A$11:$BN$18,MATCH(Summary!E$1,'RA7-Mine Infrastructure Area'!$A$9:$BN$9,1),FALSE),0)+IFERROR(VLOOKUP($B20,'RA8-Water Management Structures'!$A$11:$BN$18,MATCH(Summary!E$1,'RA8-Water Management Structures'!$A$9:$BN$9,1),FALSE),0)+IFERROR(VLOOKUP($B20,'RA9-Codisposal Upper'!$A$11:$BN$18,MATCH(Summary!E$1,'RA9-Codisposal Upper'!$A$9:$BN$9,1),FALSE),0)+IFERROR(VLOOKUP($B20,'RA10-Codisposal Slopes'!$A$11:$BN$18,MATCH(Summary!E$1,'RA10-Codisposal Slopes'!$A$9:$BN$9,1),FALSE),0)+IFERROR(VLOOKUP($B20,'IA1-Final Void inc Ramps'!$A$11:$BN$18,MATCH(Summary!E$1,'IA1-Final Void inc Ramps'!$A$9:$BN$9,1),FALSE),0)</f>
        <v>0</v>
      </c>
      <c r="F20" s="51">
        <f>IFERROR(VLOOKUP($B20,'RA1- Elevated Dumps Upper'!$A$11:$BN$18,MATCH(Summary!F$1,'RA1- Elevated Dumps Upper'!$A$9:$BN$9,1),FALSE),0)+IFERROR(VLOOKUP($B20,'RA2-Elevated Dumps Slopes'!$A$11:$BN$18,MATCH(Summary!F$1,'RA2-Elevated Dumps Slopes'!$A$9:$BN$9,1),FALSE),0)+IFERROR(VLOOKUP($B20,'RA3-Backfilled Pits'!$A$11:$BN$18,MATCH(Summary!F$1,'RA3-Backfilled Pits'!$A$9:$BN$9,1),FALSE),0)+IFERROR(VLOOKUP($B20,'RA4-Tracks_Roads'!$A$11:$BN$18,MATCH(Summary!F$1,'RA4-Tracks_Roads'!$A$9:$BN$9,1),FALSE),0)+IFERROR(VLOOKUP($B20,'RA5-ROM'!$A$11:$BN$18,MATCH(Summary!F$1,'RA5-ROM'!$A$9:$BN$9,1),FALSE),0)+IFERROR(VLOOKUP($B20,'RA6-CHPP'!$A$11:$BN$18,MATCH(Summary!F$1,'RA6-CHPP'!$A$9:$BN$9,1),FALSE),0)+IFERROR(VLOOKUP($B20,'RA7-Mine Infrastructure Area'!$A$11:$BN$18,MATCH(Summary!F$1,'RA7-Mine Infrastructure Area'!$A$9:$BN$9,1),FALSE),0)+IFERROR(VLOOKUP($B20,'RA8-Water Management Structures'!$A$11:$BN$18,MATCH(Summary!F$1,'RA8-Water Management Structures'!$A$9:$BN$9,1),FALSE),0)+IFERROR(VLOOKUP($B20,'RA9-Codisposal Upper'!$A$11:$BN$18,MATCH(Summary!F$1,'RA9-Codisposal Upper'!$A$9:$BN$9,1),FALSE),0)+IFERROR(VLOOKUP($B20,'RA10-Codisposal Slopes'!$A$11:$BN$18,MATCH(Summary!F$1,'RA10-Codisposal Slopes'!$A$9:$BN$9,1),FALSE),0)+IFERROR(VLOOKUP($B20,'IA1-Final Void inc Ramps'!$A$11:$BN$18,MATCH(Summary!F$1,'IA1-Final Void inc Ramps'!$A$9:$BN$9,1),FALSE),0)</f>
        <v>0</v>
      </c>
      <c r="G20" s="51">
        <f>IFERROR(VLOOKUP($B20,'RA1- Elevated Dumps Upper'!$A$11:$BN$18,MATCH(Summary!G$1,'RA1- Elevated Dumps Upper'!$A$9:$BN$9,1),FALSE),0)+IFERROR(VLOOKUP($B20,'RA2-Elevated Dumps Slopes'!$A$11:$BN$18,MATCH(Summary!G$1,'RA2-Elevated Dumps Slopes'!$A$9:$BN$9,1),FALSE),0)+IFERROR(VLOOKUP($B20,'RA3-Backfilled Pits'!$A$11:$BN$18,MATCH(Summary!G$1,'RA3-Backfilled Pits'!$A$9:$BN$9,1),FALSE),0)+IFERROR(VLOOKUP($B20,'RA4-Tracks_Roads'!$A$11:$BN$18,MATCH(Summary!G$1,'RA4-Tracks_Roads'!$A$9:$BN$9,1),FALSE),0)+IFERROR(VLOOKUP($B20,'RA5-ROM'!$A$11:$BN$18,MATCH(Summary!G$1,'RA5-ROM'!$A$9:$BN$9,1),FALSE),0)+IFERROR(VLOOKUP($B20,'RA6-CHPP'!$A$11:$BN$18,MATCH(Summary!G$1,'RA6-CHPP'!$A$9:$BN$9,1),FALSE),0)+IFERROR(VLOOKUP($B20,'RA7-Mine Infrastructure Area'!$A$11:$BN$18,MATCH(Summary!G$1,'RA7-Mine Infrastructure Area'!$A$9:$BN$9,1),FALSE),0)+IFERROR(VLOOKUP($B20,'RA8-Water Management Structures'!$A$11:$BN$18,MATCH(Summary!G$1,'RA8-Water Management Structures'!$A$9:$BN$9,1),FALSE),0)+IFERROR(VLOOKUP($B20,'RA9-Codisposal Upper'!$A$11:$BN$18,MATCH(Summary!G$1,'RA9-Codisposal Upper'!$A$9:$BN$9,1),FALSE),0)+IFERROR(VLOOKUP($B20,'RA10-Codisposal Slopes'!$A$11:$BN$18,MATCH(Summary!G$1,'RA10-Codisposal Slopes'!$A$9:$BN$9,1),FALSE),0)+IFERROR(VLOOKUP($B20,'IA1-Final Void inc Ramps'!$A$11:$BN$18,MATCH(Summary!G$1,'IA1-Final Void inc Ramps'!$A$9:$BN$9,1),FALSE),0)</f>
        <v>0</v>
      </c>
      <c r="H20" s="51">
        <f>IFERROR(VLOOKUP($B20,'RA1- Elevated Dumps Upper'!$A$11:$BN$18,MATCH(Summary!H$1,'RA1- Elevated Dumps Upper'!$A$9:$BN$9,1),FALSE),0)+IFERROR(VLOOKUP($B20,'RA2-Elevated Dumps Slopes'!$A$11:$BN$18,MATCH(Summary!H$1,'RA2-Elevated Dumps Slopes'!$A$9:$BN$9,1),FALSE),0)+IFERROR(VLOOKUP($B20,'RA3-Backfilled Pits'!$A$11:$BN$18,MATCH(Summary!H$1,'RA3-Backfilled Pits'!$A$9:$BN$9,1),FALSE),0)+IFERROR(VLOOKUP($B20,'RA4-Tracks_Roads'!$A$11:$BN$18,MATCH(Summary!H$1,'RA4-Tracks_Roads'!$A$9:$BN$9,1),FALSE),0)+IFERROR(VLOOKUP($B20,'RA5-ROM'!$A$11:$BN$18,MATCH(Summary!H$1,'RA5-ROM'!$A$9:$BN$9,1),FALSE),0)+IFERROR(VLOOKUP($B20,'RA6-CHPP'!$A$11:$BN$18,MATCH(Summary!H$1,'RA6-CHPP'!$A$9:$BN$9,1),FALSE),0)+IFERROR(VLOOKUP($B20,'RA7-Mine Infrastructure Area'!$A$11:$BN$18,MATCH(Summary!H$1,'RA7-Mine Infrastructure Area'!$A$9:$BN$9,1),FALSE),0)+IFERROR(VLOOKUP($B20,'RA8-Water Management Structures'!$A$11:$BN$18,MATCH(Summary!H$1,'RA8-Water Management Structures'!$A$9:$BN$9,1),FALSE),0)+IFERROR(VLOOKUP($B20,'RA9-Codisposal Upper'!$A$11:$BN$18,MATCH(Summary!H$1,'RA9-Codisposal Upper'!$A$9:$BN$9,1),FALSE),0)+IFERROR(VLOOKUP($B20,'RA10-Codisposal Slopes'!$A$11:$BN$18,MATCH(Summary!H$1,'RA10-Codisposal Slopes'!$A$9:$BN$9,1),FALSE),0)+IFERROR(VLOOKUP($B20,'IA1-Final Void inc Ramps'!$A$11:$BN$18,MATCH(Summary!H$1,'IA1-Final Void inc Ramps'!$A$9:$BN$9,1),FALSE),0)</f>
        <v>0</v>
      </c>
      <c r="I20" s="51">
        <f>IFERROR(VLOOKUP($B20,'RA1- Elevated Dumps Upper'!$A$11:$BN$18,MATCH(Summary!I$1,'RA1- Elevated Dumps Upper'!$A$9:$BN$9,1),FALSE),0)+IFERROR(VLOOKUP($B20,'RA2-Elevated Dumps Slopes'!$A$11:$BN$18,MATCH(Summary!I$1,'RA2-Elevated Dumps Slopes'!$A$9:$BN$9,1),FALSE),0)+IFERROR(VLOOKUP($B20,'RA3-Backfilled Pits'!$A$11:$BN$18,MATCH(Summary!I$1,'RA3-Backfilled Pits'!$A$9:$BN$9,1),FALSE),0)+IFERROR(VLOOKUP($B20,'RA4-Tracks_Roads'!$A$11:$BN$18,MATCH(Summary!I$1,'RA4-Tracks_Roads'!$A$9:$BN$9,1),FALSE),0)+IFERROR(VLOOKUP($B20,'RA5-ROM'!$A$11:$BN$18,MATCH(Summary!I$1,'RA5-ROM'!$A$9:$BN$9,1),FALSE),0)+IFERROR(VLOOKUP($B20,'RA6-CHPP'!$A$11:$BN$18,MATCH(Summary!I$1,'RA6-CHPP'!$A$9:$BN$9,1),FALSE),0)+IFERROR(VLOOKUP($B20,'RA7-Mine Infrastructure Area'!$A$11:$BN$18,MATCH(Summary!I$1,'RA7-Mine Infrastructure Area'!$A$9:$BN$9,1),FALSE),0)+IFERROR(VLOOKUP($B20,'RA8-Water Management Structures'!$A$11:$BN$18,MATCH(Summary!I$1,'RA8-Water Management Structures'!$A$9:$BN$9,1),FALSE),0)+IFERROR(VLOOKUP($B20,'RA9-Codisposal Upper'!$A$11:$BN$18,MATCH(Summary!I$1,'RA9-Codisposal Upper'!$A$9:$BN$9,1),FALSE),0)+IFERROR(VLOOKUP($B20,'RA10-Codisposal Slopes'!$A$11:$BN$18,MATCH(Summary!I$1,'RA10-Codisposal Slopes'!$A$9:$BN$9,1),FALSE),0)+IFERROR(VLOOKUP($B20,'IA1-Final Void inc Ramps'!$A$11:$BN$18,MATCH(Summary!I$1,'IA1-Final Void inc Ramps'!$A$9:$BN$9,1),FALSE),0)</f>
        <v>0</v>
      </c>
      <c r="J20" s="51">
        <f>IFERROR(VLOOKUP($B20,'RA1- Elevated Dumps Upper'!$A$11:$BN$18,MATCH(Summary!J$1,'RA1- Elevated Dumps Upper'!$A$9:$BN$9,1),FALSE),0)+IFERROR(VLOOKUP($B20,'RA2-Elevated Dumps Slopes'!$A$11:$BN$18,MATCH(Summary!J$1,'RA2-Elevated Dumps Slopes'!$A$9:$BN$9,1),FALSE),0)+IFERROR(VLOOKUP($B20,'RA3-Backfilled Pits'!$A$11:$BN$18,MATCH(Summary!J$1,'RA3-Backfilled Pits'!$A$9:$BN$9,1),FALSE),0)+IFERROR(VLOOKUP($B20,'RA4-Tracks_Roads'!$A$11:$BN$18,MATCH(Summary!J$1,'RA4-Tracks_Roads'!$A$9:$BN$9,1),FALSE),0)+IFERROR(VLOOKUP($B20,'RA5-ROM'!$A$11:$BN$18,MATCH(Summary!J$1,'RA5-ROM'!$A$9:$BN$9,1),FALSE),0)+IFERROR(VLOOKUP($B20,'RA6-CHPP'!$A$11:$BN$18,MATCH(Summary!J$1,'RA6-CHPP'!$A$9:$BN$9,1),FALSE),0)+IFERROR(VLOOKUP($B20,'RA7-Mine Infrastructure Area'!$A$11:$BN$18,MATCH(Summary!J$1,'RA7-Mine Infrastructure Area'!$A$9:$BN$9,1),FALSE),0)+IFERROR(VLOOKUP($B20,'RA8-Water Management Structures'!$A$11:$BN$18,MATCH(Summary!J$1,'RA8-Water Management Structures'!$A$9:$BN$9,1),FALSE),0)+IFERROR(VLOOKUP($B20,'RA9-Codisposal Upper'!$A$11:$BN$18,MATCH(Summary!J$1,'RA9-Codisposal Upper'!$A$9:$BN$9,1),FALSE),0)+IFERROR(VLOOKUP($B20,'RA10-Codisposal Slopes'!$A$11:$BN$18,MATCH(Summary!J$1,'RA10-Codisposal Slopes'!$A$9:$BN$9,1),FALSE),0)+IFERROR(VLOOKUP($B20,'IA1-Final Void inc Ramps'!$A$11:$BN$18,MATCH(Summary!J$1,'IA1-Final Void inc Ramps'!$A$9:$BN$9,1),FALSE),0)</f>
        <v>0</v>
      </c>
      <c r="K20" s="51">
        <f>IFERROR(VLOOKUP($B20,'RA1- Elevated Dumps Upper'!$A$11:$BN$18,MATCH(Summary!K$1,'RA1- Elevated Dumps Upper'!$A$9:$BN$9,1),FALSE),0)+IFERROR(VLOOKUP($B20,'RA2-Elevated Dumps Slopes'!$A$11:$BN$18,MATCH(Summary!K$1,'RA2-Elevated Dumps Slopes'!$A$9:$BN$9,1),FALSE),0)+IFERROR(VLOOKUP($B20,'RA3-Backfilled Pits'!$A$11:$BN$18,MATCH(Summary!K$1,'RA3-Backfilled Pits'!$A$9:$BN$9,1),FALSE),0)+IFERROR(VLOOKUP($B20,'RA4-Tracks_Roads'!$A$11:$BN$18,MATCH(Summary!K$1,'RA4-Tracks_Roads'!$A$9:$BN$9,1),FALSE),0)+IFERROR(VLOOKUP($B20,'RA5-ROM'!$A$11:$BN$18,MATCH(Summary!K$1,'RA5-ROM'!$A$9:$BN$9,1),FALSE),0)+IFERROR(VLOOKUP($B20,'RA6-CHPP'!$A$11:$BN$18,MATCH(Summary!K$1,'RA6-CHPP'!$A$9:$BN$9,1),FALSE),0)+IFERROR(VLOOKUP($B20,'RA7-Mine Infrastructure Area'!$A$11:$BN$18,MATCH(Summary!K$1,'RA7-Mine Infrastructure Area'!$A$9:$BN$9,1),FALSE),0)+IFERROR(VLOOKUP($B20,'RA8-Water Management Structures'!$A$11:$BN$18,MATCH(Summary!K$1,'RA8-Water Management Structures'!$A$9:$BN$9,1),FALSE),0)+IFERROR(VLOOKUP($B20,'RA9-Codisposal Upper'!$A$11:$BN$18,MATCH(Summary!K$1,'RA9-Codisposal Upper'!$A$9:$BN$9,1),FALSE),0)+IFERROR(VLOOKUP($B20,'RA10-Codisposal Slopes'!$A$11:$BN$18,MATCH(Summary!K$1,'RA10-Codisposal Slopes'!$A$9:$BN$9,1),FALSE),0)+IFERROR(VLOOKUP($B20,'IA1-Final Void inc Ramps'!$A$11:$BN$18,MATCH(Summary!K$1,'IA1-Final Void inc Ramps'!$A$9:$BN$9,1),FALSE),0)</f>
        <v>0</v>
      </c>
      <c r="L20" s="51">
        <f>IFERROR(VLOOKUP($B20,'RA1- Elevated Dumps Upper'!$A$11:$BN$18,MATCH(Summary!L$1,'RA1- Elevated Dumps Upper'!$A$9:$BN$9,1),FALSE),0)+IFERROR(VLOOKUP($B20,'RA2-Elevated Dumps Slopes'!$A$11:$BN$18,MATCH(Summary!L$1,'RA2-Elevated Dumps Slopes'!$A$9:$BN$9,1),FALSE),0)+IFERROR(VLOOKUP($B20,'RA3-Backfilled Pits'!$A$11:$BN$18,MATCH(Summary!L$1,'RA3-Backfilled Pits'!$A$9:$BN$9,1),FALSE),0)+IFERROR(VLOOKUP($B20,'RA4-Tracks_Roads'!$A$11:$BN$18,MATCH(Summary!L$1,'RA4-Tracks_Roads'!$A$9:$BN$9,1),FALSE),0)+IFERROR(VLOOKUP($B20,'RA5-ROM'!$A$11:$BN$18,MATCH(Summary!L$1,'RA5-ROM'!$A$9:$BN$9,1),FALSE),0)+IFERROR(VLOOKUP($B20,'RA6-CHPP'!$A$11:$BN$18,MATCH(Summary!L$1,'RA6-CHPP'!$A$9:$BN$9,1),FALSE),0)+IFERROR(VLOOKUP($B20,'RA7-Mine Infrastructure Area'!$A$11:$BN$18,MATCH(Summary!L$1,'RA7-Mine Infrastructure Area'!$A$9:$BN$9,1),FALSE),0)+IFERROR(VLOOKUP($B20,'RA8-Water Management Structures'!$A$11:$BN$18,MATCH(Summary!L$1,'RA8-Water Management Structures'!$A$9:$BN$9,1),FALSE),0)+IFERROR(VLOOKUP($B20,'RA9-Codisposal Upper'!$A$11:$BN$18,MATCH(Summary!L$1,'RA9-Codisposal Upper'!$A$9:$BN$9,1),FALSE),0)+IFERROR(VLOOKUP($B20,'RA10-Codisposal Slopes'!$A$11:$BN$18,MATCH(Summary!L$1,'RA10-Codisposal Slopes'!$A$9:$BN$9,1),FALSE),0)+IFERROR(VLOOKUP($B20,'IA1-Final Void inc Ramps'!$A$11:$BN$18,MATCH(Summary!L$1,'IA1-Final Void inc Ramps'!$A$9:$BN$9,1),FALSE),0)</f>
        <v>0</v>
      </c>
      <c r="M20" s="51">
        <f>IFERROR(VLOOKUP($B20,'RA1- Elevated Dumps Upper'!$A$11:$BN$18,MATCH(Summary!M$1,'RA1- Elevated Dumps Upper'!$A$9:$BN$9,1),FALSE),0)+IFERROR(VLOOKUP($B20,'RA2-Elevated Dumps Slopes'!$A$11:$BN$18,MATCH(Summary!M$1,'RA2-Elevated Dumps Slopes'!$A$9:$BN$9,1),FALSE),0)+IFERROR(VLOOKUP($B20,'RA3-Backfilled Pits'!$A$11:$BN$18,MATCH(Summary!M$1,'RA3-Backfilled Pits'!$A$9:$BN$9,1),FALSE),0)+IFERROR(VLOOKUP($B20,'RA4-Tracks_Roads'!$A$11:$BN$18,MATCH(Summary!M$1,'RA4-Tracks_Roads'!$A$9:$BN$9,1),FALSE),0)+IFERROR(VLOOKUP($B20,'RA5-ROM'!$A$11:$BN$18,MATCH(Summary!M$1,'RA5-ROM'!$A$9:$BN$9,1),FALSE),0)+IFERROR(VLOOKUP($B20,'RA6-CHPP'!$A$11:$BN$18,MATCH(Summary!M$1,'RA6-CHPP'!$A$9:$BN$9,1),FALSE),0)+IFERROR(VLOOKUP($B20,'RA7-Mine Infrastructure Area'!$A$11:$BN$18,MATCH(Summary!M$1,'RA7-Mine Infrastructure Area'!$A$9:$BN$9,1),FALSE),0)+IFERROR(VLOOKUP($B20,'RA8-Water Management Structures'!$A$11:$BN$18,MATCH(Summary!M$1,'RA8-Water Management Structures'!$A$9:$BN$9,1),FALSE),0)+IFERROR(VLOOKUP($B20,'RA9-Codisposal Upper'!$A$11:$BN$18,MATCH(Summary!M$1,'RA9-Codisposal Upper'!$A$9:$BN$9,1),FALSE),0)+IFERROR(VLOOKUP($B20,'RA10-Codisposal Slopes'!$A$11:$BN$18,MATCH(Summary!M$1,'RA10-Codisposal Slopes'!$A$9:$BN$9,1),FALSE),0)+IFERROR(VLOOKUP($B20,'IA1-Final Void inc Ramps'!$A$11:$BN$18,MATCH(Summary!M$1,'IA1-Final Void inc Ramps'!$A$9:$BN$9,1),FALSE),0)</f>
        <v>0</v>
      </c>
      <c r="N20" s="51">
        <f>IFERROR(VLOOKUP($B20,'RA1- Elevated Dumps Upper'!$A$11:$BN$18,MATCH(Summary!N$1,'RA1- Elevated Dumps Upper'!$A$9:$BN$9,1),FALSE),0)+IFERROR(VLOOKUP($B20,'RA2-Elevated Dumps Slopes'!$A$11:$BN$18,MATCH(Summary!N$1,'RA2-Elevated Dumps Slopes'!$A$9:$BN$9,1),FALSE),0)+IFERROR(VLOOKUP($B20,'RA3-Backfilled Pits'!$A$11:$BN$18,MATCH(Summary!N$1,'RA3-Backfilled Pits'!$A$9:$BN$9,1),FALSE),0)+IFERROR(VLOOKUP($B20,'RA4-Tracks_Roads'!$A$11:$BN$18,MATCH(Summary!N$1,'RA4-Tracks_Roads'!$A$9:$BN$9,1),FALSE),0)+IFERROR(VLOOKUP($B20,'RA5-ROM'!$A$11:$BN$18,MATCH(Summary!N$1,'RA5-ROM'!$A$9:$BN$9,1),FALSE),0)+IFERROR(VLOOKUP($B20,'RA6-CHPP'!$A$11:$BN$18,MATCH(Summary!N$1,'RA6-CHPP'!$A$9:$BN$9,1),FALSE),0)+IFERROR(VLOOKUP($B20,'RA7-Mine Infrastructure Area'!$A$11:$BN$18,MATCH(Summary!N$1,'RA7-Mine Infrastructure Area'!$A$9:$BN$9,1),FALSE),0)+IFERROR(VLOOKUP($B20,'RA8-Water Management Structures'!$A$11:$BN$18,MATCH(Summary!N$1,'RA8-Water Management Structures'!$A$9:$BN$9,1),FALSE),0)+IFERROR(VLOOKUP($B20,'RA9-Codisposal Upper'!$A$11:$BN$18,MATCH(Summary!N$1,'RA9-Codisposal Upper'!$A$9:$BN$9,1),FALSE),0)+IFERROR(VLOOKUP($B20,'RA10-Codisposal Slopes'!$A$11:$BN$18,MATCH(Summary!N$1,'RA10-Codisposal Slopes'!$A$9:$BN$9,1),FALSE),0)+IFERROR(VLOOKUP($B20,'IA1-Final Void inc Ramps'!$A$11:$BN$18,MATCH(Summary!N$1,'IA1-Final Void inc Ramps'!$A$9:$BN$9,1),FALSE),0)</f>
        <v>0</v>
      </c>
      <c r="O20" s="51">
        <f>IFERROR(VLOOKUP($B20,'RA1- Elevated Dumps Upper'!$A$11:$BN$18,MATCH(Summary!O$1,'RA1- Elevated Dumps Upper'!$A$9:$BN$9,1),FALSE),0)+IFERROR(VLOOKUP($B20,'RA2-Elevated Dumps Slopes'!$A$11:$BN$18,MATCH(Summary!O$1,'RA2-Elevated Dumps Slopes'!$A$9:$BN$9,1),FALSE),0)+IFERROR(VLOOKUP($B20,'RA3-Backfilled Pits'!$A$11:$BN$18,MATCH(Summary!O$1,'RA3-Backfilled Pits'!$A$9:$BN$9,1),FALSE),0)+IFERROR(VLOOKUP($B20,'RA4-Tracks_Roads'!$A$11:$BN$18,MATCH(Summary!O$1,'RA4-Tracks_Roads'!$A$9:$BN$9,1),FALSE),0)+IFERROR(VLOOKUP($B20,'RA5-ROM'!$A$11:$BN$18,MATCH(Summary!O$1,'RA5-ROM'!$A$9:$BN$9,1),FALSE),0)+IFERROR(VLOOKUP($B20,'RA6-CHPP'!$A$11:$BN$18,MATCH(Summary!O$1,'RA6-CHPP'!$A$9:$BN$9,1),FALSE),0)+IFERROR(VLOOKUP($B20,'RA7-Mine Infrastructure Area'!$A$11:$BN$18,MATCH(Summary!O$1,'RA7-Mine Infrastructure Area'!$A$9:$BN$9,1),FALSE),0)+IFERROR(VLOOKUP($B20,'RA8-Water Management Structures'!$A$11:$BN$18,MATCH(Summary!O$1,'RA8-Water Management Structures'!$A$9:$BN$9,1),FALSE),0)+IFERROR(VLOOKUP($B20,'RA9-Codisposal Upper'!$A$11:$BN$18,MATCH(Summary!O$1,'RA9-Codisposal Upper'!$A$9:$BN$9,1),FALSE),0)+IFERROR(VLOOKUP($B20,'RA10-Codisposal Slopes'!$A$11:$BN$18,MATCH(Summary!O$1,'RA10-Codisposal Slopes'!$A$9:$BN$9,1),FALSE),0)+IFERROR(VLOOKUP($B20,'IA1-Final Void inc Ramps'!$A$11:$BN$18,MATCH(Summary!O$1,'IA1-Final Void inc Ramps'!$A$9:$BN$9,1),FALSE),0)</f>
        <v>0</v>
      </c>
      <c r="P20" s="51">
        <f>IFERROR(VLOOKUP($B20,'RA1- Elevated Dumps Upper'!$A$11:$BN$18,MATCH(Summary!P$1,'RA1- Elevated Dumps Upper'!$A$9:$BN$9,1),FALSE),0)+IFERROR(VLOOKUP($B20,'RA2-Elevated Dumps Slopes'!$A$11:$BN$18,MATCH(Summary!P$1,'RA2-Elevated Dumps Slopes'!$A$9:$BN$9,1),FALSE),0)+IFERROR(VLOOKUP($B20,'RA3-Backfilled Pits'!$A$11:$BN$18,MATCH(Summary!P$1,'RA3-Backfilled Pits'!$A$9:$BN$9,1),FALSE),0)+IFERROR(VLOOKUP($B20,'RA4-Tracks_Roads'!$A$11:$BN$18,MATCH(Summary!P$1,'RA4-Tracks_Roads'!$A$9:$BN$9,1),FALSE),0)+IFERROR(VLOOKUP($B20,'RA5-ROM'!$A$11:$BN$18,MATCH(Summary!P$1,'RA5-ROM'!$A$9:$BN$9,1),FALSE),0)+IFERROR(VLOOKUP($B20,'RA6-CHPP'!$A$11:$BN$18,MATCH(Summary!P$1,'RA6-CHPP'!$A$9:$BN$9,1),FALSE),0)+IFERROR(VLOOKUP($B20,'RA7-Mine Infrastructure Area'!$A$11:$BN$18,MATCH(Summary!P$1,'RA7-Mine Infrastructure Area'!$A$9:$BN$9,1),FALSE),0)+IFERROR(VLOOKUP($B20,'RA8-Water Management Structures'!$A$11:$BN$18,MATCH(Summary!P$1,'RA8-Water Management Structures'!$A$9:$BN$9,1),FALSE),0)+IFERROR(VLOOKUP($B20,'RA9-Codisposal Upper'!$A$11:$BN$18,MATCH(Summary!P$1,'RA9-Codisposal Upper'!$A$9:$BN$9,1),FALSE),0)+IFERROR(VLOOKUP($B20,'RA10-Codisposal Slopes'!$A$11:$BN$18,MATCH(Summary!P$1,'RA10-Codisposal Slopes'!$A$9:$BN$9,1),FALSE),0)+IFERROR(VLOOKUP($B20,'IA1-Final Void inc Ramps'!$A$11:$BN$18,MATCH(Summary!P$1,'IA1-Final Void inc Ramps'!$A$9:$BN$9,1),FALSE),0)</f>
        <v>0</v>
      </c>
      <c r="Q20" s="51">
        <f>IFERROR(VLOOKUP($B20,'RA1- Elevated Dumps Upper'!$A$11:$BN$18,MATCH(Summary!Q$1,'RA1- Elevated Dumps Upper'!$A$9:$BN$9,1),FALSE),0)+IFERROR(VLOOKUP($B20,'RA2-Elevated Dumps Slopes'!$A$11:$BN$18,MATCH(Summary!Q$1,'RA2-Elevated Dumps Slopes'!$A$9:$BN$9,1),FALSE),0)+IFERROR(VLOOKUP($B20,'RA3-Backfilled Pits'!$A$11:$BN$18,MATCH(Summary!Q$1,'RA3-Backfilled Pits'!$A$9:$BN$9,1),FALSE),0)+IFERROR(VLOOKUP($B20,'RA4-Tracks_Roads'!$A$11:$BN$18,MATCH(Summary!Q$1,'RA4-Tracks_Roads'!$A$9:$BN$9,1),FALSE),0)+IFERROR(VLOOKUP($B20,'RA5-ROM'!$A$11:$BN$18,MATCH(Summary!Q$1,'RA5-ROM'!$A$9:$BN$9,1),FALSE),0)+IFERROR(VLOOKUP($B20,'RA6-CHPP'!$A$11:$BN$18,MATCH(Summary!Q$1,'RA6-CHPP'!$A$9:$BN$9,1),FALSE),0)+IFERROR(VLOOKUP($B20,'RA7-Mine Infrastructure Area'!$A$11:$BN$18,MATCH(Summary!Q$1,'RA7-Mine Infrastructure Area'!$A$9:$BN$9,1),FALSE),0)+IFERROR(VLOOKUP($B20,'RA8-Water Management Structures'!$A$11:$BN$18,MATCH(Summary!Q$1,'RA8-Water Management Structures'!$A$9:$BN$9,1),FALSE),0)+IFERROR(VLOOKUP($B20,'RA9-Codisposal Upper'!$A$11:$BN$18,MATCH(Summary!Q$1,'RA9-Codisposal Upper'!$A$9:$BN$9,1),FALSE),0)+IFERROR(VLOOKUP($B20,'RA10-Codisposal Slopes'!$A$11:$BN$18,MATCH(Summary!Q$1,'RA10-Codisposal Slopes'!$A$9:$BN$9,1),FALSE),0)+IFERROR(VLOOKUP($B20,'IA1-Final Void inc Ramps'!$A$11:$BN$18,MATCH(Summary!Q$1,'IA1-Final Void inc Ramps'!$A$9:$BN$9,1),FALSE),0)</f>
        <v>0</v>
      </c>
      <c r="R20" s="51">
        <f>IFERROR(VLOOKUP($B20,'RA1- Elevated Dumps Upper'!$A$11:$BN$18,MATCH(Summary!R$1,'RA1- Elevated Dumps Upper'!$A$9:$BN$9,1),FALSE),0)+IFERROR(VLOOKUP($B20,'RA2-Elevated Dumps Slopes'!$A$11:$BN$18,MATCH(Summary!R$1,'RA2-Elevated Dumps Slopes'!$A$9:$BN$9,1),FALSE),0)+IFERROR(VLOOKUP($B20,'RA3-Backfilled Pits'!$A$11:$BN$18,MATCH(Summary!R$1,'RA3-Backfilled Pits'!$A$9:$BN$9,1),FALSE),0)+IFERROR(VLOOKUP($B20,'RA4-Tracks_Roads'!$A$11:$BN$18,MATCH(Summary!R$1,'RA4-Tracks_Roads'!$A$9:$BN$9,1),FALSE),0)+IFERROR(VLOOKUP($B20,'RA5-ROM'!$A$11:$BN$18,MATCH(Summary!R$1,'RA5-ROM'!$A$9:$BN$9,1),FALSE),0)+IFERROR(VLOOKUP($B20,'RA6-CHPP'!$A$11:$BN$18,MATCH(Summary!R$1,'RA6-CHPP'!$A$9:$BN$9,1),FALSE),0)+IFERROR(VLOOKUP($B20,'RA7-Mine Infrastructure Area'!$A$11:$BN$18,MATCH(Summary!R$1,'RA7-Mine Infrastructure Area'!$A$9:$BN$9,1),FALSE),0)+IFERROR(VLOOKUP($B20,'RA8-Water Management Structures'!$A$11:$BN$18,MATCH(Summary!R$1,'RA8-Water Management Structures'!$A$9:$BN$9,1),FALSE),0)+IFERROR(VLOOKUP($B20,'RA9-Codisposal Upper'!$A$11:$BN$18,MATCH(Summary!R$1,'RA9-Codisposal Upper'!$A$9:$BN$9,1),FALSE),0)+IFERROR(VLOOKUP($B20,'RA10-Codisposal Slopes'!$A$11:$BN$18,MATCH(Summary!R$1,'RA10-Codisposal Slopes'!$A$9:$BN$9,1),FALSE),0)+IFERROR(VLOOKUP($B20,'IA1-Final Void inc Ramps'!$A$11:$BN$18,MATCH(Summary!R$1,'IA1-Final Void inc Ramps'!$A$9:$BN$9,1),FALSE),0)</f>
        <v>0</v>
      </c>
      <c r="S20" s="51">
        <f>IFERROR(VLOOKUP($B20,'RA1- Elevated Dumps Upper'!$A$11:$BN$18,MATCH(Summary!S$1,'RA1- Elevated Dumps Upper'!$A$9:$BN$9,1),FALSE),0)+IFERROR(VLOOKUP($B20,'RA2-Elevated Dumps Slopes'!$A$11:$BN$18,MATCH(Summary!S$1,'RA2-Elevated Dumps Slopes'!$A$9:$BN$9,1),FALSE),0)+IFERROR(VLOOKUP($B20,'RA3-Backfilled Pits'!$A$11:$BN$18,MATCH(Summary!S$1,'RA3-Backfilled Pits'!$A$9:$BN$9,1),FALSE),0)+IFERROR(VLOOKUP($B20,'RA4-Tracks_Roads'!$A$11:$BN$18,MATCH(Summary!S$1,'RA4-Tracks_Roads'!$A$9:$BN$9,1),FALSE),0)+IFERROR(VLOOKUP($B20,'RA5-ROM'!$A$11:$BN$18,MATCH(Summary!S$1,'RA5-ROM'!$A$9:$BN$9,1),FALSE),0)+IFERROR(VLOOKUP($B20,'RA6-CHPP'!$A$11:$BN$18,MATCH(Summary!S$1,'RA6-CHPP'!$A$9:$BN$9,1),FALSE),0)+IFERROR(VLOOKUP($B20,'RA7-Mine Infrastructure Area'!$A$11:$BN$18,MATCH(Summary!S$1,'RA7-Mine Infrastructure Area'!$A$9:$BN$9,1),FALSE),0)+IFERROR(VLOOKUP($B20,'RA8-Water Management Structures'!$A$11:$BN$18,MATCH(Summary!S$1,'RA8-Water Management Structures'!$A$9:$BN$9,1),FALSE),0)+IFERROR(VLOOKUP($B20,'RA9-Codisposal Upper'!$A$11:$BN$18,MATCH(Summary!S$1,'RA9-Codisposal Upper'!$A$9:$BN$9,1),FALSE),0)+IFERROR(VLOOKUP($B20,'RA10-Codisposal Slopes'!$A$11:$BN$18,MATCH(Summary!S$1,'RA10-Codisposal Slopes'!$A$9:$BN$9,1),FALSE),0)+IFERROR(VLOOKUP($B20,'IA1-Final Void inc Ramps'!$A$11:$BN$18,MATCH(Summary!S$1,'IA1-Final Void inc Ramps'!$A$9:$BN$9,1),FALSE),0)</f>
        <v>0</v>
      </c>
      <c r="T20" s="51">
        <f>IFERROR(VLOOKUP($B20,'RA1- Elevated Dumps Upper'!$A$11:$BN$18,MATCH(Summary!T$1,'RA1- Elevated Dumps Upper'!$A$9:$BN$9,1),FALSE),0)+IFERROR(VLOOKUP($B20,'RA2-Elevated Dumps Slopes'!$A$11:$BN$18,MATCH(Summary!T$1,'RA2-Elevated Dumps Slopes'!$A$9:$BN$9,1),FALSE),0)+IFERROR(VLOOKUP($B20,'RA3-Backfilled Pits'!$A$11:$BN$18,MATCH(Summary!T$1,'RA3-Backfilled Pits'!$A$9:$BN$9,1),FALSE),0)+IFERROR(VLOOKUP($B20,'RA4-Tracks_Roads'!$A$11:$BN$18,MATCH(Summary!T$1,'RA4-Tracks_Roads'!$A$9:$BN$9,1),FALSE),0)+IFERROR(VLOOKUP($B20,'RA5-ROM'!$A$11:$BN$18,MATCH(Summary!T$1,'RA5-ROM'!$A$9:$BN$9,1),FALSE),0)+IFERROR(VLOOKUP($B20,'RA6-CHPP'!$A$11:$BN$18,MATCH(Summary!T$1,'RA6-CHPP'!$A$9:$BN$9,1),FALSE),0)+IFERROR(VLOOKUP($B20,'RA7-Mine Infrastructure Area'!$A$11:$BN$18,MATCH(Summary!T$1,'RA7-Mine Infrastructure Area'!$A$9:$BN$9,1),FALSE),0)+IFERROR(VLOOKUP($B20,'RA8-Water Management Structures'!$A$11:$BN$18,MATCH(Summary!T$1,'RA8-Water Management Structures'!$A$9:$BN$9,1),FALSE),0)+IFERROR(VLOOKUP($B20,'RA9-Codisposal Upper'!$A$11:$BN$18,MATCH(Summary!T$1,'RA9-Codisposal Upper'!$A$9:$BN$9,1),FALSE),0)+IFERROR(VLOOKUP($B20,'RA10-Codisposal Slopes'!$A$11:$BN$18,MATCH(Summary!T$1,'RA10-Codisposal Slopes'!$A$9:$BN$9,1),FALSE),0)+IFERROR(VLOOKUP($B20,'IA1-Final Void inc Ramps'!$A$11:$BN$18,MATCH(Summary!T$1,'IA1-Final Void inc Ramps'!$A$9:$BN$9,1),FALSE),0)</f>
        <v>0</v>
      </c>
      <c r="U20" s="51">
        <f>IFERROR(VLOOKUP($B20,'RA1- Elevated Dumps Upper'!$A$11:$BN$18,MATCH(Summary!U$1,'RA1- Elevated Dumps Upper'!$A$9:$BN$9,1),FALSE),0)+IFERROR(VLOOKUP($B20,'RA2-Elevated Dumps Slopes'!$A$11:$BN$18,MATCH(Summary!U$1,'RA2-Elevated Dumps Slopes'!$A$9:$BN$9,1),FALSE),0)+IFERROR(VLOOKUP($B20,'RA3-Backfilled Pits'!$A$11:$BN$18,MATCH(Summary!U$1,'RA3-Backfilled Pits'!$A$9:$BN$9,1),FALSE),0)+IFERROR(VLOOKUP($B20,'RA4-Tracks_Roads'!$A$11:$BN$18,MATCH(Summary!U$1,'RA4-Tracks_Roads'!$A$9:$BN$9,1),FALSE),0)+IFERROR(VLOOKUP($B20,'RA5-ROM'!$A$11:$BN$18,MATCH(Summary!U$1,'RA5-ROM'!$A$9:$BN$9,1),FALSE),0)+IFERROR(VLOOKUP($B20,'RA6-CHPP'!$A$11:$BN$18,MATCH(Summary!U$1,'RA6-CHPP'!$A$9:$BN$9,1),FALSE),0)+IFERROR(VLOOKUP($B20,'RA7-Mine Infrastructure Area'!$A$11:$BN$18,MATCH(Summary!U$1,'RA7-Mine Infrastructure Area'!$A$9:$BN$9,1),FALSE),0)+IFERROR(VLOOKUP($B20,'RA8-Water Management Structures'!$A$11:$BN$18,MATCH(Summary!U$1,'RA8-Water Management Structures'!$A$9:$BN$9,1),FALSE),0)+IFERROR(VLOOKUP($B20,'RA9-Codisposal Upper'!$A$11:$BN$18,MATCH(Summary!U$1,'RA9-Codisposal Upper'!$A$9:$BN$9,1),FALSE),0)+IFERROR(VLOOKUP($B20,'RA10-Codisposal Slopes'!$A$11:$BN$18,MATCH(Summary!U$1,'RA10-Codisposal Slopes'!$A$9:$BN$9,1),FALSE),0)+IFERROR(VLOOKUP($B20,'IA1-Final Void inc Ramps'!$A$11:$BN$18,MATCH(Summary!U$1,'IA1-Final Void inc Ramps'!$A$9:$BN$9,1),FALSE),0)</f>
        <v>0</v>
      </c>
      <c r="V20" s="51">
        <f>IFERROR(VLOOKUP($B20,'RA1- Elevated Dumps Upper'!$A$11:$BN$18,MATCH(Summary!V$1,'RA1- Elevated Dumps Upper'!$A$9:$BN$9,1),FALSE),0)+IFERROR(VLOOKUP($B20,'RA2-Elevated Dumps Slopes'!$A$11:$BN$18,MATCH(Summary!V$1,'RA2-Elevated Dumps Slopes'!$A$9:$BN$9,1),FALSE),0)+IFERROR(VLOOKUP($B20,'RA3-Backfilled Pits'!$A$11:$BN$18,MATCH(Summary!V$1,'RA3-Backfilled Pits'!$A$9:$BN$9,1),FALSE),0)+IFERROR(VLOOKUP($B20,'RA4-Tracks_Roads'!$A$11:$BN$18,MATCH(Summary!V$1,'RA4-Tracks_Roads'!$A$9:$BN$9,1),FALSE),0)+IFERROR(VLOOKUP($B20,'RA5-ROM'!$A$11:$BN$18,MATCH(Summary!V$1,'RA5-ROM'!$A$9:$BN$9,1),FALSE),0)+IFERROR(VLOOKUP($B20,'RA6-CHPP'!$A$11:$BN$18,MATCH(Summary!V$1,'RA6-CHPP'!$A$9:$BN$9,1),FALSE),0)+IFERROR(VLOOKUP($B20,'RA7-Mine Infrastructure Area'!$A$11:$BN$18,MATCH(Summary!V$1,'RA7-Mine Infrastructure Area'!$A$9:$BN$9,1),FALSE),0)+IFERROR(VLOOKUP($B20,'RA8-Water Management Structures'!$A$11:$BN$18,MATCH(Summary!V$1,'RA8-Water Management Structures'!$A$9:$BN$9,1),FALSE),0)+IFERROR(VLOOKUP($B20,'RA9-Codisposal Upper'!$A$11:$BN$18,MATCH(Summary!V$1,'RA9-Codisposal Upper'!$A$9:$BN$9,1),FALSE),0)+IFERROR(VLOOKUP($B20,'RA10-Codisposal Slopes'!$A$11:$BN$18,MATCH(Summary!V$1,'RA10-Codisposal Slopes'!$A$9:$BN$9,1),FALSE),0)+IFERROR(VLOOKUP($B20,'IA1-Final Void inc Ramps'!$A$11:$BN$18,MATCH(Summary!V$1,'IA1-Final Void inc Ramps'!$A$9:$BN$9,1),FALSE),0)</f>
        <v>0</v>
      </c>
      <c r="W20" s="51">
        <f>IFERROR(VLOOKUP($B20,'RA1- Elevated Dumps Upper'!$A$11:$BN$18,MATCH(Summary!W$1,'RA1- Elevated Dumps Upper'!$A$9:$BN$9,1),FALSE),0)+IFERROR(VLOOKUP($B20,'RA2-Elevated Dumps Slopes'!$A$11:$BN$18,MATCH(Summary!W$1,'RA2-Elevated Dumps Slopes'!$A$9:$BN$9,1),FALSE),0)+IFERROR(VLOOKUP($B20,'RA3-Backfilled Pits'!$A$11:$BN$18,MATCH(Summary!W$1,'RA3-Backfilled Pits'!$A$9:$BN$9,1),FALSE),0)+IFERROR(VLOOKUP($B20,'RA4-Tracks_Roads'!$A$11:$BN$18,MATCH(Summary!W$1,'RA4-Tracks_Roads'!$A$9:$BN$9,1),FALSE),0)+IFERROR(VLOOKUP($B20,'RA5-ROM'!$A$11:$BN$18,MATCH(Summary!W$1,'RA5-ROM'!$A$9:$BN$9,1),FALSE),0)+IFERROR(VLOOKUP($B20,'RA6-CHPP'!$A$11:$BN$18,MATCH(Summary!W$1,'RA6-CHPP'!$A$9:$BN$9,1),FALSE),0)+IFERROR(VLOOKUP($B20,'RA7-Mine Infrastructure Area'!$A$11:$BN$18,MATCH(Summary!W$1,'RA7-Mine Infrastructure Area'!$A$9:$BN$9,1),FALSE),0)+IFERROR(VLOOKUP($B20,'RA8-Water Management Structures'!$A$11:$BN$18,MATCH(Summary!W$1,'RA8-Water Management Structures'!$A$9:$BN$9,1),FALSE),0)+IFERROR(VLOOKUP($B20,'RA9-Codisposal Upper'!$A$11:$BN$18,MATCH(Summary!W$1,'RA9-Codisposal Upper'!$A$9:$BN$9,1),FALSE),0)+IFERROR(VLOOKUP($B20,'RA10-Codisposal Slopes'!$A$11:$BN$18,MATCH(Summary!W$1,'RA10-Codisposal Slopes'!$A$9:$BN$9,1),FALSE),0)+IFERROR(VLOOKUP($B20,'IA1-Final Void inc Ramps'!$A$11:$BN$18,MATCH(Summary!W$1,'IA1-Final Void inc Ramps'!$A$9:$BN$9,1),FALSE),0)</f>
        <v>0</v>
      </c>
      <c r="X20" s="51">
        <f>IFERROR(VLOOKUP($B20,'RA1- Elevated Dumps Upper'!$A$11:$BN$18,MATCH(Summary!X$1,'RA1- Elevated Dumps Upper'!$A$9:$BN$9,1),FALSE),0)+IFERROR(VLOOKUP($B20,'RA2-Elevated Dumps Slopes'!$A$11:$BN$18,MATCH(Summary!X$1,'RA2-Elevated Dumps Slopes'!$A$9:$BN$9,1),FALSE),0)+IFERROR(VLOOKUP($B20,'RA3-Backfilled Pits'!$A$11:$BN$18,MATCH(Summary!X$1,'RA3-Backfilled Pits'!$A$9:$BN$9,1),FALSE),0)+IFERROR(VLOOKUP($B20,'RA4-Tracks_Roads'!$A$11:$BN$18,MATCH(Summary!X$1,'RA4-Tracks_Roads'!$A$9:$BN$9,1),FALSE),0)+IFERROR(VLOOKUP($B20,'RA5-ROM'!$A$11:$BN$18,MATCH(Summary!X$1,'RA5-ROM'!$A$9:$BN$9,1),FALSE),0)+IFERROR(VLOOKUP($B20,'RA6-CHPP'!$A$11:$BN$18,MATCH(Summary!X$1,'RA6-CHPP'!$A$9:$BN$9,1),FALSE),0)+IFERROR(VLOOKUP($B20,'RA7-Mine Infrastructure Area'!$A$11:$BN$18,MATCH(Summary!X$1,'RA7-Mine Infrastructure Area'!$A$9:$BN$9,1),FALSE),0)+IFERROR(VLOOKUP($B20,'RA8-Water Management Structures'!$A$11:$BN$18,MATCH(Summary!X$1,'RA8-Water Management Structures'!$A$9:$BN$9,1),FALSE),0)+IFERROR(VLOOKUP($B20,'RA9-Codisposal Upper'!$A$11:$BN$18,MATCH(Summary!X$1,'RA9-Codisposal Upper'!$A$9:$BN$9,1),FALSE),0)+IFERROR(VLOOKUP($B20,'RA10-Codisposal Slopes'!$A$11:$BN$18,MATCH(Summary!X$1,'RA10-Codisposal Slopes'!$A$9:$BN$9,1),FALSE),0)+IFERROR(VLOOKUP($B20,'IA1-Final Void inc Ramps'!$A$11:$BN$18,MATCH(Summary!X$1,'IA1-Final Void inc Ramps'!$A$9:$BN$9,1),FALSE),0)</f>
        <v>0</v>
      </c>
      <c r="Y20" s="51">
        <f>IFERROR(VLOOKUP($B20,'RA1- Elevated Dumps Upper'!$A$11:$BN$18,MATCH(Summary!Y$1,'RA1- Elevated Dumps Upper'!$A$9:$BN$9,1),FALSE),0)+IFERROR(VLOOKUP($B20,'RA2-Elevated Dumps Slopes'!$A$11:$BN$18,MATCH(Summary!Y$1,'RA2-Elevated Dumps Slopes'!$A$9:$BN$9,1),FALSE),0)+IFERROR(VLOOKUP($B20,'RA3-Backfilled Pits'!$A$11:$BN$18,MATCH(Summary!Y$1,'RA3-Backfilled Pits'!$A$9:$BN$9,1),FALSE),0)+IFERROR(VLOOKUP($B20,'RA4-Tracks_Roads'!$A$11:$BN$18,MATCH(Summary!Y$1,'RA4-Tracks_Roads'!$A$9:$BN$9,1),FALSE),0)+IFERROR(VLOOKUP($B20,'RA5-ROM'!$A$11:$BN$18,MATCH(Summary!Y$1,'RA5-ROM'!$A$9:$BN$9,1),FALSE),0)+IFERROR(VLOOKUP($B20,'RA6-CHPP'!$A$11:$BN$18,MATCH(Summary!Y$1,'RA6-CHPP'!$A$9:$BN$9,1),FALSE),0)+IFERROR(VLOOKUP($B20,'RA7-Mine Infrastructure Area'!$A$11:$BN$18,MATCH(Summary!Y$1,'RA7-Mine Infrastructure Area'!$A$9:$BN$9,1),FALSE),0)+IFERROR(VLOOKUP($B20,'RA8-Water Management Structures'!$A$11:$BN$18,MATCH(Summary!Y$1,'RA8-Water Management Structures'!$A$9:$BN$9,1),FALSE),0)+IFERROR(VLOOKUP($B20,'RA9-Codisposal Upper'!$A$11:$BN$18,MATCH(Summary!Y$1,'RA9-Codisposal Upper'!$A$9:$BN$9,1),FALSE),0)+IFERROR(VLOOKUP($B20,'RA10-Codisposal Slopes'!$A$11:$BN$18,MATCH(Summary!Y$1,'RA10-Codisposal Slopes'!$A$9:$BN$9,1),FALSE),0)+IFERROR(VLOOKUP($B20,'IA1-Final Void inc Ramps'!$A$11:$BN$18,MATCH(Summary!Y$1,'IA1-Final Void inc Ramps'!$A$9:$BN$9,1),FALSE),0)</f>
        <v>0</v>
      </c>
      <c r="Z20" s="51">
        <f>IFERROR(VLOOKUP($B20,'RA1- Elevated Dumps Upper'!$A$11:$BN$18,MATCH(Summary!Z$1,'RA1- Elevated Dumps Upper'!$A$9:$BN$9,1),FALSE),0)+IFERROR(VLOOKUP($B20,'RA2-Elevated Dumps Slopes'!$A$11:$BN$18,MATCH(Summary!Z$1,'RA2-Elevated Dumps Slopes'!$A$9:$BN$9,1),FALSE),0)+IFERROR(VLOOKUP($B20,'RA3-Backfilled Pits'!$A$11:$BN$18,MATCH(Summary!Z$1,'RA3-Backfilled Pits'!$A$9:$BN$9,1),FALSE),0)+IFERROR(VLOOKUP($B20,'RA4-Tracks_Roads'!$A$11:$BN$18,MATCH(Summary!Z$1,'RA4-Tracks_Roads'!$A$9:$BN$9,1),FALSE),0)+IFERROR(VLOOKUP($B20,'RA5-ROM'!$A$11:$BN$18,MATCH(Summary!Z$1,'RA5-ROM'!$A$9:$BN$9,1),FALSE),0)+IFERROR(VLOOKUP($B20,'RA6-CHPP'!$A$11:$BN$18,MATCH(Summary!Z$1,'RA6-CHPP'!$A$9:$BN$9,1),FALSE),0)+IFERROR(VLOOKUP($B20,'RA7-Mine Infrastructure Area'!$A$11:$BN$18,MATCH(Summary!Z$1,'RA7-Mine Infrastructure Area'!$A$9:$BN$9,1),FALSE),0)+IFERROR(VLOOKUP($B20,'RA8-Water Management Structures'!$A$11:$BN$18,MATCH(Summary!Z$1,'RA8-Water Management Structures'!$A$9:$BN$9,1),FALSE),0)+IFERROR(VLOOKUP($B20,'RA9-Codisposal Upper'!$A$11:$BN$18,MATCH(Summary!Z$1,'RA9-Codisposal Upper'!$A$9:$BN$9,1),FALSE),0)+IFERROR(VLOOKUP($B20,'RA10-Codisposal Slopes'!$A$11:$BN$18,MATCH(Summary!Z$1,'RA10-Codisposal Slopes'!$A$9:$BN$9,1),FALSE),0)+IFERROR(VLOOKUP($B20,'IA1-Final Void inc Ramps'!$A$11:$BN$18,MATCH(Summary!Z$1,'IA1-Final Void inc Ramps'!$A$9:$BN$9,1),FALSE),0)</f>
        <v>0</v>
      </c>
      <c r="AA20" s="51">
        <f>IFERROR(VLOOKUP($B20,'RA1- Elevated Dumps Upper'!$A$11:$BN$18,MATCH(Summary!AA$1,'RA1- Elevated Dumps Upper'!$A$9:$BN$9,1),FALSE),0)+IFERROR(VLOOKUP($B20,'RA2-Elevated Dumps Slopes'!$A$11:$BN$18,MATCH(Summary!AA$1,'RA2-Elevated Dumps Slopes'!$A$9:$BN$9,1),FALSE),0)+IFERROR(VLOOKUP($B20,'RA3-Backfilled Pits'!$A$11:$BN$18,MATCH(Summary!AA$1,'RA3-Backfilled Pits'!$A$9:$BN$9,1),FALSE),0)+IFERROR(VLOOKUP($B20,'RA4-Tracks_Roads'!$A$11:$BN$18,MATCH(Summary!AA$1,'RA4-Tracks_Roads'!$A$9:$BN$9,1),FALSE),0)+IFERROR(VLOOKUP($B20,'RA5-ROM'!$A$11:$BN$18,MATCH(Summary!AA$1,'RA5-ROM'!$A$9:$BN$9,1),FALSE),0)+IFERROR(VLOOKUP($B20,'RA6-CHPP'!$A$11:$BN$18,MATCH(Summary!AA$1,'RA6-CHPP'!$A$9:$BN$9,1),FALSE),0)+IFERROR(VLOOKUP($B20,'RA7-Mine Infrastructure Area'!$A$11:$BN$18,MATCH(Summary!AA$1,'RA7-Mine Infrastructure Area'!$A$9:$BN$9,1),FALSE),0)+IFERROR(VLOOKUP($B20,'RA8-Water Management Structures'!$A$11:$BN$18,MATCH(Summary!AA$1,'RA8-Water Management Structures'!$A$9:$BN$9,1),FALSE),0)+IFERROR(VLOOKUP($B20,'RA9-Codisposal Upper'!$A$11:$BN$18,MATCH(Summary!AA$1,'RA9-Codisposal Upper'!$A$9:$BN$9,1),FALSE),0)+IFERROR(VLOOKUP($B20,'RA10-Codisposal Slopes'!$A$11:$BN$18,MATCH(Summary!AA$1,'RA10-Codisposal Slopes'!$A$9:$BN$9,1),FALSE),0)+IFERROR(VLOOKUP($B20,'IA1-Final Void inc Ramps'!$A$11:$BN$18,MATCH(Summary!AA$1,'IA1-Final Void inc Ramps'!$A$9:$BN$9,1),FALSE),0)</f>
        <v>0</v>
      </c>
      <c r="AB20" s="51">
        <f>IFERROR(VLOOKUP($B20,'RA1- Elevated Dumps Upper'!$A$11:$BN$18,MATCH(Summary!AB$1,'RA1- Elevated Dumps Upper'!$A$9:$BN$9,1),FALSE),0)+IFERROR(VLOOKUP($B20,'RA2-Elevated Dumps Slopes'!$A$11:$BN$18,MATCH(Summary!AB$1,'RA2-Elevated Dumps Slopes'!$A$9:$BN$9,1),FALSE),0)+IFERROR(VLOOKUP($B20,'RA3-Backfilled Pits'!$A$11:$BN$18,MATCH(Summary!AB$1,'RA3-Backfilled Pits'!$A$9:$BN$9,1),FALSE),0)+IFERROR(VLOOKUP($B20,'RA4-Tracks_Roads'!$A$11:$BN$18,MATCH(Summary!AB$1,'RA4-Tracks_Roads'!$A$9:$BN$9,1),FALSE),0)+IFERROR(VLOOKUP($B20,'RA5-ROM'!$A$11:$BN$18,MATCH(Summary!AB$1,'RA5-ROM'!$A$9:$BN$9,1),FALSE),0)+IFERROR(VLOOKUP($B20,'RA6-CHPP'!$A$11:$BN$18,MATCH(Summary!AB$1,'RA6-CHPP'!$A$9:$BN$9,1),FALSE),0)+IFERROR(VLOOKUP($B20,'RA7-Mine Infrastructure Area'!$A$11:$BN$18,MATCH(Summary!AB$1,'RA7-Mine Infrastructure Area'!$A$9:$BN$9,1),FALSE),0)+IFERROR(VLOOKUP($B20,'RA8-Water Management Structures'!$A$11:$BN$18,MATCH(Summary!AB$1,'RA8-Water Management Structures'!$A$9:$BN$9,1),FALSE),0)+IFERROR(VLOOKUP($B20,'RA9-Codisposal Upper'!$A$11:$BN$18,MATCH(Summary!AB$1,'RA9-Codisposal Upper'!$A$9:$BN$9,1),FALSE),0)+IFERROR(VLOOKUP($B20,'RA10-Codisposal Slopes'!$A$11:$BN$18,MATCH(Summary!AB$1,'RA10-Codisposal Slopes'!$A$9:$BN$9,1),FALSE),0)+IFERROR(VLOOKUP($B20,'IA1-Final Void inc Ramps'!$A$11:$BN$18,MATCH(Summary!AB$1,'IA1-Final Void inc Ramps'!$A$9:$BN$9,1),FALSE),0)</f>
        <v>0</v>
      </c>
      <c r="AC20" s="51">
        <f>IFERROR(VLOOKUP($B20,'RA1- Elevated Dumps Upper'!$A$11:$BN$18,MATCH(Summary!AC$1,'RA1- Elevated Dumps Upper'!$A$9:$BN$9,1),FALSE),0)+IFERROR(VLOOKUP($B20,'RA2-Elevated Dumps Slopes'!$A$11:$BN$18,MATCH(Summary!AC$1,'RA2-Elevated Dumps Slopes'!$A$9:$BN$9,1),FALSE),0)+IFERROR(VLOOKUP($B20,'RA3-Backfilled Pits'!$A$11:$BN$18,MATCH(Summary!AC$1,'RA3-Backfilled Pits'!$A$9:$BN$9,1),FALSE),0)+IFERROR(VLOOKUP($B20,'RA4-Tracks_Roads'!$A$11:$BN$18,MATCH(Summary!AC$1,'RA4-Tracks_Roads'!$A$9:$BN$9,1),FALSE),0)+IFERROR(VLOOKUP($B20,'RA5-ROM'!$A$11:$BN$18,MATCH(Summary!AC$1,'RA5-ROM'!$A$9:$BN$9,1),FALSE),0)+IFERROR(VLOOKUP($B20,'RA6-CHPP'!$A$11:$BN$18,MATCH(Summary!AC$1,'RA6-CHPP'!$A$9:$BN$9,1),FALSE),0)+IFERROR(VLOOKUP($B20,'RA7-Mine Infrastructure Area'!$A$11:$BN$18,MATCH(Summary!AC$1,'RA7-Mine Infrastructure Area'!$A$9:$BN$9,1),FALSE),0)+IFERROR(VLOOKUP($B20,'RA8-Water Management Structures'!$A$11:$BN$18,MATCH(Summary!AC$1,'RA8-Water Management Structures'!$A$9:$BN$9,1),FALSE),0)+IFERROR(VLOOKUP($B20,'RA9-Codisposal Upper'!$A$11:$BN$18,MATCH(Summary!AC$1,'RA9-Codisposal Upper'!$A$9:$BN$9,1),FALSE),0)+IFERROR(VLOOKUP($B20,'RA10-Codisposal Slopes'!$A$11:$BN$18,MATCH(Summary!AC$1,'RA10-Codisposal Slopes'!$A$9:$BN$9,1),FALSE),0)+IFERROR(VLOOKUP($B20,'IA1-Final Void inc Ramps'!$A$11:$BN$18,MATCH(Summary!AC$1,'IA1-Final Void inc Ramps'!$A$9:$BN$9,1),FALSE),0)</f>
        <v>0</v>
      </c>
      <c r="AD20" s="51">
        <f>IFERROR(VLOOKUP($B20,'RA1- Elevated Dumps Upper'!$A$11:$BN$18,MATCH(Summary!AD$1,'RA1- Elevated Dumps Upper'!$A$9:$BN$9,1),FALSE),0)+IFERROR(VLOOKUP($B20,'RA2-Elevated Dumps Slopes'!$A$11:$BN$18,MATCH(Summary!AD$1,'RA2-Elevated Dumps Slopes'!$A$9:$BN$9,1),FALSE),0)+IFERROR(VLOOKUP($B20,'RA3-Backfilled Pits'!$A$11:$BN$18,MATCH(Summary!AD$1,'RA3-Backfilled Pits'!$A$9:$BN$9,1),FALSE),0)+IFERROR(VLOOKUP($B20,'RA4-Tracks_Roads'!$A$11:$BN$18,MATCH(Summary!AD$1,'RA4-Tracks_Roads'!$A$9:$BN$9,1),FALSE),0)+IFERROR(VLOOKUP($B20,'RA5-ROM'!$A$11:$BN$18,MATCH(Summary!AD$1,'RA5-ROM'!$A$9:$BN$9,1),FALSE),0)+IFERROR(VLOOKUP($B20,'RA6-CHPP'!$A$11:$BN$18,MATCH(Summary!AD$1,'RA6-CHPP'!$A$9:$BN$9,1),FALSE),0)+IFERROR(VLOOKUP($B20,'RA7-Mine Infrastructure Area'!$A$11:$BN$18,MATCH(Summary!AD$1,'RA7-Mine Infrastructure Area'!$A$9:$BN$9,1),FALSE),0)+IFERROR(VLOOKUP($B20,'RA8-Water Management Structures'!$A$11:$BN$18,MATCH(Summary!AD$1,'RA8-Water Management Structures'!$A$9:$BN$9,1),FALSE),0)+IFERROR(VLOOKUP($B20,'RA9-Codisposal Upper'!$A$11:$BN$18,MATCH(Summary!AD$1,'RA9-Codisposal Upper'!$A$9:$BN$9,1),FALSE),0)+IFERROR(VLOOKUP($B20,'RA10-Codisposal Slopes'!$A$11:$BN$18,MATCH(Summary!AD$1,'RA10-Codisposal Slopes'!$A$9:$BN$9,1),FALSE),0)+IFERROR(VLOOKUP($B20,'IA1-Final Void inc Ramps'!$A$11:$BN$18,MATCH(Summary!AD$1,'IA1-Final Void inc Ramps'!$A$9:$BN$9,1),FALSE),0)</f>
        <v>0</v>
      </c>
      <c r="AE20" s="51">
        <f>IFERROR(VLOOKUP($B20,'RA1- Elevated Dumps Upper'!$A$11:$BN$18,MATCH(Summary!AE$1,'RA1- Elevated Dumps Upper'!$A$9:$BN$9,1),FALSE),0)+IFERROR(VLOOKUP($B20,'RA2-Elevated Dumps Slopes'!$A$11:$BN$18,MATCH(Summary!AE$1,'RA2-Elevated Dumps Slopes'!$A$9:$BN$9,1),FALSE),0)+IFERROR(VLOOKUP($B20,'RA3-Backfilled Pits'!$A$11:$BN$18,MATCH(Summary!AE$1,'RA3-Backfilled Pits'!$A$9:$BN$9,1),FALSE),0)+IFERROR(VLOOKUP($B20,'RA4-Tracks_Roads'!$A$11:$BN$18,MATCH(Summary!AE$1,'RA4-Tracks_Roads'!$A$9:$BN$9,1),FALSE),0)+IFERROR(VLOOKUP($B20,'RA5-ROM'!$A$11:$BN$18,MATCH(Summary!AE$1,'RA5-ROM'!$A$9:$BN$9,1),FALSE),0)+IFERROR(VLOOKUP($B20,'RA6-CHPP'!$A$11:$BN$18,MATCH(Summary!AE$1,'RA6-CHPP'!$A$9:$BN$9,1),FALSE),0)+IFERROR(VLOOKUP($B20,'RA7-Mine Infrastructure Area'!$A$11:$BN$18,MATCH(Summary!AE$1,'RA7-Mine Infrastructure Area'!$A$9:$BN$9,1),FALSE),0)+IFERROR(VLOOKUP($B20,'RA8-Water Management Structures'!$A$11:$BN$18,MATCH(Summary!AE$1,'RA8-Water Management Structures'!$A$9:$BN$9,1),FALSE),0)+IFERROR(VLOOKUP($B20,'RA9-Codisposal Upper'!$A$11:$BN$18,MATCH(Summary!AE$1,'RA9-Codisposal Upper'!$A$9:$BN$9,1),FALSE),0)+IFERROR(VLOOKUP($B20,'RA10-Codisposal Slopes'!$A$11:$BN$18,MATCH(Summary!AE$1,'RA10-Codisposal Slopes'!$A$9:$BN$9,1),FALSE),0)+IFERROR(VLOOKUP($B20,'IA1-Final Void inc Ramps'!$A$11:$BN$18,MATCH(Summary!AE$1,'IA1-Final Void inc Ramps'!$A$9:$BN$9,1),FALSE),0)</f>
        <v>0</v>
      </c>
      <c r="AF20" s="51">
        <f>IFERROR(VLOOKUP($B20,'RA1- Elevated Dumps Upper'!$A$11:$BN$18,MATCH(Summary!AF$1,'RA1- Elevated Dumps Upper'!$A$9:$BN$9,1),FALSE),0)+IFERROR(VLOOKUP($B20,'RA2-Elevated Dumps Slopes'!$A$11:$BN$18,MATCH(Summary!AF$1,'RA2-Elevated Dumps Slopes'!$A$9:$BN$9,1),FALSE),0)+IFERROR(VLOOKUP($B20,'RA3-Backfilled Pits'!$A$11:$BN$18,MATCH(Summary!AF$1,'RA3-Backfilled Pits'!$A$9:$BN$9,1),FALSE),0)+IFERROR(VLOOKUP($B20,'RA4-Tracks_Roads'!$A$11:$BN$18,MATCH(Summary!AF$1,'RA4-Tracks_Roads'!$A$9:$BN$9,1),FALSE),0)+IFERROR(VLOOKUP($B20,'RA5-ROM'!$A$11:$BN$18,MATCH(Summary!AF$1,'RA5-ROM'!$A$9:$BN$9,1),FALSE),0)+IFERROR(VLOOKUP($B20,'RA6-CHPP'!$A$11:$BN$18,MATCH(Summary!AF$1,'RA6-CHPP'!$A$9:$BN$9,1),FALSE),0)+IFERROR(VLOOKUP($B20,'RA7-Mine Infrastructure Area'!$A$11:$BN$18,MATCH(Summary!AF$1,'RA7-Mine Infrastructure Area'!$A$9:$BN$9,1),FALSE),0)+IFERROR(VLOOKUP($B20,'RA8-Water Management Structures'!$A$11:$BN$18,MATCH(Summary!AF$1,'RA8-Water Management Structures'!$A$9:$BN$9,1),FALSE),0)+IFERROR(VLOOKUP($B20,'RA9-Codisposal Upper'!$A$11:$BN$18,MATCH(Summary!AF$1,'RA9-Codisposal Upper'!$A$9:$BN$9,1),FALSE),0)+IFERROR(VLOOKUP($B20,'RA10-Codisposal Slopes'!$A$11:$BN$18,MATCH(Summary!AF$1,'RA10-Codisposal Slopes'!$A$9:$BN$9,1),FALSE),0)+IFERROR(VLOOKUP($B20,'IA1-Final Void inc Ramps'!$A$11:$BN$18,MATCH(Summary!AF$1,'IA1-Final Void inc Ramps'!$A$9:$BN$9,1),FALSE),0)</f>
        <v>0</v>
      </c>
      <c r="AG20" s="51">
        <f>IFERROR(VLOOKUP($B20,'RA1- Elevated Dumps Upper'!$A$11:$BN$18,MATCH(Summary!AG$1,'RA1- Elevated Dumps Upper'!$A$9:$BN$9,1),FALSE),0)+IFERROR(VLOOKUP($B20,'RA2-Elevated Dumps Slopes'!$A$11:$BN$18,MATCH(Summary!AG$1,'RA2-Elevated Dumps Slopes'!$A$9:$BN$9,1),FALSE),0)+IFERROR(VLOOKUP($B20,'RA3-Backfilled Pits'!$A$11:$BN$18,MATCH(Summary!AG$1,'RA3-Backfilled Pits'!$A$9:$BN$9,1),FALSE),0)+IFERROR(VLOOKUP($B20,'RA4-Tracks_Roads'!$A$11:$BN$18,MATCH(Summary!AG$1,'RA4-Tracks_Roads'!$A$9:$BN$9,1),FALSE),0)+IFERROR(VLOOKUP($B20,'RA5-ROM'!$A$11:$BN$18,MATCH(Summary!AG$1,'RA5-ROM'!$A$9:$BN$9,1),FALSE),0)+IFERROR(VLOOKUP($B20,'RA6-CHPP'!$A$11:$BN$18,MATCH(Summary!AG$1,'RA6-CHPP'!$A$9:$BN$9,1),FALSE),0)+IFERROR(VLOOKUP($B20,'RA7-Mine Infrastructure Area'!$A$11:$BN$18,MATCH(Summary!AG$1,'RA7-Mine Infrastructure Area'!$A$9:$BN$9,1),FALSE),0)+IFERROR(VLOOKUP($B20,'RA8-Water Management Structures'!$A$11:$BN$18,MATCH(Summary!AG$1,'RA8-Water Management Structures'!$A$9:$BN$9,1),FALSE),0)+IFERROR(VLOOKUP($B20,'RA9-Codisposal Upper'!$A$11:$BN$18,MATCH(Summary!AG$1,'RA9-Codisposal Upper'!$A$9:$BN$9,1),FALSE),0)+IFERROR(VLOOKUP($B20,'RA10-Codisposal Slopes'!$A$11:$BN$18,MATCH(Summary!AG$1,'RA10-Codisposal Slopes'!$A$9:$BN$9,1),FALSE),0)+IFERROR(VLOOKUP($B20,'IA1-Final Void inc Ramps'!$A$11:$BN$18,MATCH(Summary!AG$1,'IA1-Final Void inc Ramps'!$A$9:$BN$9,1),FALSE),0)</f>
        <v>0</v>
      </c>
      <c r="AH20" s="51">
        <f>IFERROR(VLOOKUP($B20,'RA1- Elevated Dumps Upper'!$A$11:$BN$18,MATCH(Summary!AH$1,'RA1- Elevated Dumps Upper'!$A$9:$BN$9,1),FALSE),0)+IFERROR(VLOOKUP($B20,'RA2-Elevated Dumps Slopes'!$A$11:$BN$18,MATCH(Summary!AH$1,'RA2-Elevated Dumps Slopes'!$A$9:$BN$9,1),FALSE),0)+IFERROR(VLOOKUP($B20,'RA3-Backfilled Pits'!$A$11:$BN$18,MATCH(Summary!AH$1,'RA3-Backfilled Pits'!$A$9:$BN$9,1),FALSE),0)+IFERROR(VLOOKUP($B20,'RA4-Tracks_Roads'!$A$11:$BN$18,MATCH(Summary!AH$1,'RA4-Tracks_Roads'!$A$9:$BN$9,1),FALSE),0)+IFERROR(VLOOKUP($B20,'RA5-ROM'!$A$11:$BN$18,MATCH(Summary!AH$1,'RA5-ROM'!$A$9:$BN$9,1),FALSE),0)+IFERROR(VLOOKUP($B20,'RA6-CHPP'!$A$11:$BN$18,MATCH(Summary!AH$1,'RA6-CHPP'!$A$9:$BN$9,1),FALSE),0)+IFERROR(VLOOKUP($B20,'RA7-Mine Infrastructure Area'!$A$11:$BN$18,MATCH(Summary!AH$1,'RA7-Mine Infrastructure Area'!$A$9:$BN$9,1),FALSE),0)+IFERROR(VLOOKUP($B20,'RA8-Water Management Structures'!$A$11:$BN$18,MATCH(Summary!AH$1,'RA8-Water Management Structures'!$A$9:$BN$9,1),FALSE),0)+IFERROR(VLOOKUP($B20,'RA9-Codisposal Upper'!$A$11:$BN$18,MATCH(Summary!AH$1,'RA9-Codisposal Upper'!$A$9:$BN$9,1),FALSE),0)+IFERROR(VLOOKUP($B20,'RA10-Codisposal Slopes'!$A$11:$BN$18,MATCH(Summary!AH$1,'RA10-Codisposal Slopes'!$A$9:$BN$9,1),FALSE),0)+IFERROR(VLOOKUP($B20,'IA1-Final Void inc Ramps'!$A$11:$BN$18,MATCH(Summary!AH$1,'IA1-Final Void inc Ramps'!$A$9:$BN$9,1),FALSE),0)</f>
        <v>40</v>
      </c>
      <c r="AI20" s="51">
        <f>IFERROR(VLOOKUP($B20,'RA1- Elevated Dumps Upper'!$A$11:$BN$18,MATCH(Summary!AI$1,'RA1- Elevated Dumps Upper'!$A$9:$BN$9,1),FALSE),0)+IFERROR(VLOOKUP($B20,'RA2-Elevated Dumps Slopes'!$A$11:$BN$18,MATCH(Summary!AI$1,'RA2-Elevated Dumps Slopes'!$A$9:$BN$9,1),FALSE),0)+IFERROR(VLOOKUP($B20,'RA3-Backfilled Pits'!$A$11:$BN$18,MATCH(Summary!AI$1,'RA3-Backfilled Pits'!$A$9:$BN$9,1),FALSE),0)+IFERROR(VLOOKUP($B20,'RA4-Tracks_Roads'!$A$11:$BN$18,MATCH(Summary!AI$1,'RA4-Tracks_Roads'!$A$9:$BN$9,1),FALSE),0)+IFERROR(VLOOKUP($B20,'RA5-ROM'!$A$11:$BN$18,MATCH(Summary!AI$1,'RA5-ROM'!$A$9:$BN$9,1),FALSE),0)+IFERROR(VLOOKUP($B20,'RA6-CHPP'!$A$11:$BN$18,MATCH(Summary!AI$1,'RA6-CHPP'!$A$9:$BN$9,1),FALSE),0)+IFERROR(VLOOKUP($B20,'RA7-Mine Infrastructure Area'!$A$11:$BN$18,MATCH(Summary!AI$1,'RA7-Mine Infrastructure Area'!$A$9:$BN$9,1),FALSE),0)+IFERROR(VLOOKUP($B20,'RA8-Water Management Structures'!$A$11:$BN$18,MATCH(Summary!AI$1,'RA8-Water Management Structures'!$A$9:$BN$9,1),FALSE),0)+IFERROR(VLOOKUP($B20,'RA9-Codisposal Upper'!$A$11:$BN$18,MATCH(Summary!AI$1,'RA9-Codisposal Upper'!$A$9:$BN$9,1),FALSE),0)+IFERROR(VLOOKUP($B20,'RA10-Codisposal Slopes'!$A$11:$BN$18,MATCH(Summary!AI$1,'RA10-Codisposal Slopes'!$A$9:$BN$9,1),FALSE),0)+IFERROR(VLOOKUP($B20,'IA1-Final Void inc Ramps'!$A$11:$BN$18,MATCH(Summary!AI$1,'IA1-Final Void inc Ramps'!$A$9:$BN$9,1),FALSE),0)</f>
        <v>40</v>
      </c>
      <c r="AJ20" s="51">
        <f>IFERROR(VLOOKUP($B20,'RA1- Elevated Dumps Upper'!$A$11:$BN$18,MATCH(Summary!AJ$1,'RA1- Elevated Dumps Upper'!$A$9:$BN$9,1),FALSE),0)+IFERROR(VLOOKUP($B20,'RA2-Elevated Dumps Slopes'!$A$11:$BN$18,MATCH(Summary!AJ$1,'RA2-Elevated Dumps Slopes'!$A$9:$BN$9,1),FALSE),0)+IFERROR(VLOOKUP($B20,'RA3-Backfilled Pits'!$A$11:$BN$18,MATCH(Summary!AJ$1,'RA3-Backfilled Pits'!$A$9:$BN$9,1),FALSE),0)+IFERROR(VLOOKUP($B20,'RA4-Tracks_Roads'!$A$11:$BN$18,MATCH(Summary!AJ$1,'RA4-Tracks_Roads'!$A$9:$BN$9,1),FALSE),0)+IFERROR(VLOOKUP($B20,'RA5-ROM'!$A$11:$BN$18,MATCH(Summary!AJ$1,'RA5-ROM'!$A$9:$BN$9,1),FALSE),0)+IFERROR(VLOOKUP($B20,'RA6-CHPP'!$A$11:$BN$18,MATCH(Summary!AJ$1,'RA6-CHPP'!$A$9:$BN$9,1),FALSE),0)+IFERROR(VLOOKUP($B20,'RA7-Mine Infrastructure Area'!$A$11:$BN$18,MATCH(Summary!AJ$1,'RA7-Mine Infrastructure Area'!$A$9:$BN$9,1),FALSE),0)+IFERROR(VLOOKUP($B20,'RA8-Water Management Structures'!$A$11:$BN$18,MATCH(Summary!AJ$1,'RA8-Water Management Structures'!$A$9:$BN$9,1),FALSE),0)+IFERROR(VLOOKUP($B20,'RA9-Codisposal Upper'!$A$11:$BN$18,MATCH(Summary!AJ$1,'RA9-Codisposal Upper'!$A$9:$BN$9,1),FALSE),0)+IFERROR(VLOOKUP($B20,'RA10-Codisposal Slopes'!$A$11:$BN$18,MATCH(Summary!AJ$1,'RA10-Codisposal Slopes'!$A$9:$BN$9,1),FALSE),0)+IFERROR(VLOOKUP($B20,'IA1-Final Void inc Ramps'!$A$11:$BN$18,MATCH(Summary!AJ$1,'IA1-Final Void inc Ramps'!$A$9:$BN$9,1),FALSE),0)</f>
        <v>40</v>
      </c>
      <c r="AK20" s="51">
        <f>IFERROR(VLOOKUP($B20,'RA1- Elevated Dumps Upper'!$A$11:$BN$18,MATCH(Summary!AK$1,'RA1- Elevated Dumps Upper'!$A$9:$BN$9,1),FALSE),0)+IFERROR(VLOOKUP($B20,'RA2-Elevated Dumps Slopes'!$A$11:$BN$18,MATCH(Summary!AK$1,'RA2-Elevated Dumps Slopes'!$A$9:$BN$9,1),FALSE),0)+IFERROR(VLOOKUP($B20,'RA3-Backfilled Pits'!$A$11:$BN$18,MATCH(Summary!AK$1,'RA3-Backfilled Pits'!$A$9:$BN$9,1),FALSE),0)+IFERROR(VLOOKUP($B20,'RA4-Tracks_Roads'!$A$11:$BN$18,MATCH(Summary!AK$1,'RA4-Tracks_Roads'!$A$9:$BN$9,1),FALSE),0)+IFERROR(VLOOKUP($B20,'RA5-ROM'!$A$11:$BN$18,MATCH(Summary!AK$1,'RA5-ROM'!$A$9:$BN$9,1),FALSE),0)+IFERROR(VLOOKUP($B20,'RA6-CHPP'!$A$11:$BN$18,MATCH(Summary!AK$1,'RA6-CHPP'!$A$9:$BN$9,1),FALSE),0)+IFERROR(VLOOKUP($B20,'RA7-Mine Infrastructure Area'!$A$11:$BN$18,MATCH(Summary!AK$1,'RA7-Mine Infrastructure Area'!$A$9:$BN$9,1),FALSE),0)+IFERROR(VLOOKUP($B20,'RA8-Water Management Structures'!$A$11:$BN$18,MATCH(Summary!AK$1,'RA8-Water Management Structures'!$A$9:$BN$9,1),FALSE),0)+IFERROR(VLOOKUP($B20,'RA9-Codisposal Upper'!$A$11:$BN$18,MATCH(Summary!AK$1,'RA9-Codisposal Upper'!$A$9:$BN$9,1),FALSE),0)+IFERROR(VLOOKUP($B20,'RA10-Codisposal Slopes'!$A$11:$BN$18,MATCH(Summary!AK$1,'RA10-Codisposal Slopes'!$A$9:$BN$9,1),FALSE),0)+IFERROR(VLOOKUP($B20,'IA1-Final Void inc Ramps'!$A$11:$BN$18,MATCH(Summary!AK$1,'IA1-Final Void inc Ramps'!$A$9:$BN$9,1),FALSE),0)</f>
        <v>40</v>
      </c>
      <c r="AL20" s="51">
        <f>IFERROR(VLOOKUP($B20,'RA1- Elevated Dumps Upper'!$A$11:$BN$18,MATCH(Summary!AL$1,'RA1- Elevated Dumps Upper'!$A$9:$BN$9,1),FALSE),0)+IFERROR(VLOOKUP($B20,'RA2-Elevated Dumps Slopes'!$A$11:$BN$18,MATCH(Summary!AL$1,'RA2-Elevated Dumps Slopes'!$A$9:$BN$9,1),FALSE),0)+IFERROR(VLOOKUP($B20,'RA3-Backfilled Pits'!$A$11:$BN$18,MATCH(Summary!AL$1,'RA3-Backfilled Pits'!$A$9:$BN$9,1),FALSE),0)+IFERROR(VLOOKUP($B20,'RA4-Tracks_Roads'!$A$11:$BN$18,MATCH(Summary!AL$1,'RA4-Tracks_Roads'!$A$9:$BN$9,1),FALSE),0)+IFERROR(VLOOKUP($B20,'RA5-ROM'!$A$11:$BN$18,MATCH(Summary!AL$1,'RA5-ROM'!$A$9:$BN$9,1),FALSE),0)+IFERROR(VLOOKUP($B20,'RA6-CHPP'!$A$11:$BN$18,MATCH(Summary!AL$1,'RA6-CHPP'!$A$9:$BN$9,1),FALSE),0)+IFERROR(VLOOKUP($B20,'RA7-Mine Infrastructure Area'!$A$11:$BN$18,MATCH(Summary!AL$1,'RA7-Mine Infrastructure Area'!$A$9:$BN$9,1),FALSE),0)+IFERROR(VLOOKUP($B20,'RA8-Water Management Structures'!$A$11:$BN$18,MATCH(Summary!AL$1,'RA8-Water Management Structures'!$A$9:$BN$9,1),FALSE),0)+IFERROR(VLOOKUP($B20,'RA9-Codisposal Upper'!$A$11:$BN$18,MATCH(Summary!AL$1,'RA9-Codisposal Upper'!$A$9:$BN$9,1),FALSE),0)+IFERROR(VLOOKUP($B20,'RA10-Codisposal Slopes'!$A$11:$BN$18,MATCH(Summary!AL$1,'RA10-Codisposal Slopes'!$A$9:$BN$9,1),FALSE),0)+IFERROR(VLOOKUP($B20,'IA1-Final Void inc Ramps'!$A$11:$BN$18,MATCH(Summary!AL$1,'IA1-Final Void inc Ramps'!$A$9:$BN$9,1),FALSE),0)</f>
        <v>40</v>
      </c>
      <c r="AM20" s="51">
        <f>IFERROR(VLOOKUP($B20,'RA1- Elevated Dumps Upper'!$A$11:$BN$18,MATCH(Summary!AM$1,'RA1- Elevated Dumps Upper'!$A$9:$BN$9,1),FALSE),0)+IFERROR(VLOOKUP($B20,'RA2-Elevated Dumps Slopes'!$A$11:$BN$18,MATCH(Summary!AM$1,'RA2-Elevated Dumps Slopes'!$A$9:$BN$9,1),FALSE),0)+IFERROR(VLOOKUP($B20,'RA3-Backfilled Pits'!$A$11:$BN$18,MATCH(Summary!AM$1,'RA3-Backfilled Pits'!$A$9:$BN$9,1),FALSE),0)+IFERROR(VLOOKUP($B20,'RA4-Tracks_Roads'!$A$11:$BN$18,MATCH(Summary!AM$1,'RA4-Tracks_Roads'!$A$9:$BN$9,1),FALSE),0)+IFERROR(VLOOKUP($B20,'RA5-ROM'!$A$11:$BN$18,MATCH(Summary!AM$1,'RA5-ROM'!$A$9:$BN$9,1),FALSE),0)+IFERROR(VLOOKUP($B20,'RA6-CHPP'!$A$11:$BN$18,MATCH(Summary!AM$1,'RA6-CHPP'!$A$9:$BN$9,1),FALSE),0)+IFERROR(VLOOKUP($B20,'RA7-Mine Infrastructure Area'!$A$11:$BN$18,MATCH(Summary!AM$1,'RA7-Mine Infrastructure Area'!$A$9:$BN$9,1),FALSE),0)+IFERROR(VLOOKUP($B20,'RA8-Water Management Structures'!$A$11:$BN$18,MATCH(Summary!AM$1,'RA8-Water Management Structures'!$A$9:$BN$9,1),FALSE),0)+IFERROR(VLOOKUP($B20,'RA9-Codisposal Upper'!$A$11:$BN$18,MATCH(Summary!AM$1,'RA9-Codisposal Upper'!$A$9:$BN$9,1),FALSE),0)+IFERROR(VLOOKUP($B20,'RA10-Codisposal Slopes'!$A$11:$BN$18,MATCH(Summary!AM$1,'RA10-Codisposal Slopes'!$A$9:$BN$9,1),FALSE),0)+IFERROR(VLOOKUP($B20,'IA1-Final Void inc Ramps'!$A$11:$BN$18,MATCH(Summary!AM$1,'IA1-Final Void inc Ramps'!$A$9:$BN$9,1),FALSE),0)</f>
        <v>182</v>
      </c>
      <c r="AN20" s="51">
        <f>IFERROR(VLOOKUP($B20,'RA1- Elevated Dumps Upper'!$A$11:$BN$18,MATCH(Summary!AN$1,'RA1- Elevated Dumps Upper'!$A$9:$BN$9,1),FALSE),0)+IFERROR(VLOOKUP($B20,'RA2-Elevated Dumps Slopes'!$A$11:$BN$18,MATCH(Summary!AN$1,'RA2-Elevated Dumps Slopes'!$A$9:$BN$9,1),FALSE),0)+IFERROR(VLOOKUP($B20,'RA3-Backfilled Pits'!$A$11:$BN$18,MATCH(Summary!AN$1,'RA3-Backfilled Pits'!$A$9:$BN$9,1),FALSE),0)+IFERROR(VLOOKUP($B20,'RA4-Tracks_Roads'!$A$11:$BN$18,MATCH(Summary!AN$1,'RA4-Tracks_Roads'!$A$9:$BN$9,1),FALSE),0)+IFERROR(VLOOKUP($B20,'RA5-ROM'!$A$11:$BN$18,MATCH(Summary!AN$1,'RA5-ROM'!$A$9:$BN$9,1),FALSE),0)+IFERROR(VLOOKUP($B20,'RA6-CHPP'!$A$11:$BN$18,MATCH(Summary!AN$1,'RA6-CHPP'!$A$9:$BN$9,1),FALSE),0)+IFERROR(VLOOKUP($B20,'RA7-Mine Infrastructure Area'!$A$11:$BN$18,MATCH(Summary!AN$1,'RA7-Mine Infrastructure Area'!$A$9:$BN$9,1),FALSE),0)+IFERROR(VLOOKUP($B20,'RA8-Water Management Structures'!$A$11:$BN$18,MATCH(Summary!AN$1,'RA8-Water Management Structures'!$A$9:$BN$9,1),FALSE),0)+IFERROR(VLOOKUP($B20,'RA9-Codisposal Upper'!$A$11:$BN$18,MATCH(Summary!AN$1,'RA9-Codisposal Upper'!$A$9:$BN$9,1),FALSE),0)+IFERROR(VLOOKUP($B20,'RA10-Codisposal Slopes'!$A$11:$BN$18,MATCH(Summary!AN$1,'RA10-Codisposal Slopes'!$A$9:$BN$9,1),FALSE),0)+IFERROR(VLOOKUP($B20,'IA1-Final Void inc Ramps'!$A$11:$BN$18,MATCH(Summary!AN$1,'IA1-Final Void inc Ramps'!$A$9:$BN$9,1),FALSE),0)</f>
        <v>182</v>
      </c>
      <c r="AO20" s="51">
        <f>IFERROR(VLOOKUP($B20,'RA1- Elevated Dumps Upper'!$A$11:$BN$18,MATCH(Summary!AO$1,'RA1- Elevated Dumps Upper'!$A$9:$BN$9,1),FALSE),0)+IFERROR(VLOOKUP($B20,'RA2-Elevated Dumps Slopes'!$A$11:$BN$18,MATCH(Summary!AO$1,'RA2-Elevated Dumps Slopes'!$A$9:$BN$9,1),FALSE),0)+IFERROR(VLOOKUP($B20,'RA3-Backfilled Pits'!$A$11:$BN$18,MATCH(Summary!AO$1,'RA3-Backfilled Pits'!$A$9:$BN$9,1),FALSE),0)+IFERROR(VLOOKUP($B20,'RA4-Tracks_Roads'!$A$11:$BN$18,MATCH(Summary!AO$1,'RA4-Tracks_Roads'!$A$9:$BN$9,1),FALSE),0)+IFERROR(VLOOKUP($B20,'RA5-ROM'!$A$11:$BN$18,MATCH(Summary!AO$1,'RA5-ROM'!$A$9:$BN$9,1),FALSE),0)+IFERROR(VLOOKUP($B20,'RA6-CHPP'!$A$11:$BN$18,MATCH(Summary!AO$1,'RA6-CHPP'!$A$9:$BN$9,1),FALSE),0)+IFERROR(VLOOKUP($B20,'RA7-Mine Infrastructure Area'!$A$11:$BN$18,MATCH(Summary!AO$1,'RA7-Mine Infrastructure Area'!$A$9:$BN$9,1),FALSE),0)+IFERROR(VLOOKUP($B20,'RA8-Water Management Structures'!$A$11:$BN$18,MATCH(Summary!AO$1,'RA8-Water Management Structures'!$A$9:$BN$9,1),FALSE),0)+IFERROR(VLOOKUP($B20,'RA9-Codisposal Upper'!$A$11:$BN$18,MATCH(Summary!AO$1,'RA9-Codisposal Upper'!$A$9:$BN$9,1),FALSE),0)+IFERROR(VLOOKUP($B20,'RA10-Codisposal Slopes'!$A$11:$BN$18,MATCH(Summary!AO$1,'RA10-Codisposal Slopes'!$A$9:$BN$9,1),FALSE),0)+IFERROR(VLOOKUP($B20,'IA1-Final Void inc Ramps'!$A$11:$BN$18,MATCH(Summary!AO$1,'IA1-Final Void inc Ramps'!$A$9:$BN$9,1),FALSE),0)</f>
        <v>182</v>
      </c>
      <c r="AP20" s="51">
        <f>IFERROR(VLOOKUP($B20,'RA1- Elevated Dumps Upper'!$A$11:$BN$18,MATCH(Summary!AP$1,'RA1- Elevated Dumps Upper'!$A$9:$BN$9,1),FALSE),0)+IFERROR(VLOOKUP($B20,'RA2-Elevated Dumps Slopes'!$A$11:$BN$18,MATCH(Summary!AP$1,'RA2-Elevated Dumps Slopes'!$A$9:$BN$9,1),FALSE),0)+IFERROR(VLOOKUP($B20,'RA3-Backfilled Pits'!$A$11:$BN$18,MATCH(Summary!AP$1,'RA3-Backfilled Pits'!$A$9:$BN$9,1),FALSE),0)+IFERROR(VLOOKUP($B20,'RA4-Tracks_Roads'!$A$11:$BN$18,MATCH(Summary!AP$1,'RA4-Tracks_Roads'!$A$9:$BN$9,1),FALSE),0)+IFERROR(VLOOKUP($B20,'RA5-ROM'!$A$11:$BN$18,MATCH(Summary!AP$1,'RA5-ROM'!$A$9:$BN$9,1),FALSE),0)+IFERROR(VLOOKUP($B20,'RA6-CHPP'!$A$11:$BN$18,MATCH(Summary!AP$1,'RA6-CHPP'!$A$9:$BN$9,1),FALSE),0)+IFERROR(VLOOKUP($B20,'RA7-Mine Infrastructure Area'!$A$11:$BN$18,MATCH(Summary!AP$1,'RA7-Mine Infrastructure Area'!$A$9:$BN$9,1),FALSE),0)+IFERROR(VLOOKUP($B20,'RA8-Water Management Structures'!$A$11:$BN$18,MATCH(Summary!AP$1,'RA8-Water Management Structures'!$A$9:$BN$9,1),FALSE),0)+IFERROR(VLOOKUP($B20,'RA9-Codisposal Upper'!$A$11:$BN$18,MATCH(Summary!AP$1,'RA9-Codisposal Upper'!$A$9:$BN$9,1),FALSE),0)+IFERROR(VLOOKUP($B20,'RA10-Codisposal Slopes'!$A$11:$BN$18,MATCH(Summary!AP$1,'RA10-Codisposal Slopes'!$A$9:$BN$9,1),FALSE),0)+IFERROR(VLOOKUP($B20,'IA1-Final Void inc Ramps'!$A$11:$BN$18,MATCH(Summary!AP$1,'IA1-Final Void inc Ramps'!$A$9:$BN$9,1),FALSE),0)</f>
        <v>182</v>
      </c>
      <c r="AQ20" s="51">
        <f>IFERROR(VLOOKUP($B20,'RA1- Elevated Dumps Upper'!$A$11:$BN$18,MATCH(Summary!AQ$1,'RA1- Elevated Dumps Upper'!$A$9:$BN$9,1),FALSE),0)+IFERROR(VLOOKUP($B20,'RA2-Elevated Dumps Slopes'!$A$11:$BN$18,MATCH(Summary!AQ$1,'RA2-Elevated Dumps Slopes'!$A$9:$BN$9,1),FALSE),0)+IFERROR(VLOOKUP($B20,'RA3-Backfilled Pits'!$A$11:$BN$18,MATCH(Summary!AQ$1,'RA3-Backfilled Pits'!$A$9:$BN$9,1),FALSE),0)+IFERROR(VLOOKUP($B20,'RA4-Tracks_Roads'!$A$11:$BN$18,MATCH(Summary!AQ$1,'RA4-Tracks_Roads'!$A$9:$BN$9,1),FALSE),0)+IFERROR(VLOOKUP($B20,'RA5-ROM'!$A$11:$BN$18,MATCH(Summary!AQ$1,'RA5-ROM'!$A$9:$BN$9,1),FALSE),0)+IFERROR(VLOOKUP($B20,'RA6-CHPP'!$A$11:$BN$18,MATCH(Summary!AQ$1,'RA6-CHPP'!$A$9:$BN$9,1),FALSE),0)+IFERROR(VLOOKUP($B20,'RA7-Mine Infrastructure Area'!$A$11:$BN$18,MATCH(Summary!AQ$1,'RA7-Mine Infrastructure Area'!$A$9:$BN$9,1),FALSE),0)+IFERROR(VLOOKUP($B20,'RA8-Water Management Structures'!$A$11:$BN$18,MATCH(Summary!AQ$1,'RA8-Water Management Structures'!$A$9:$BN$9,1),FALSE),0)+IFERROR(VLOOKUP($B20,'RA9-Codisposal Upper'!$A$11:$BN$18,MATCH(Summary!AQ$1,'RA9-Codisposal Upper'!$A$9:$BN$9,1),FALSE),0)+IFERROR(VLOOKUP($B20,'RA10-Codisposal Slopes'!$A$11:$BN$18,MATCH(Summary!AQ$1,'RA10-Codisposal Slopes'!$A$9:$BN$9,1),FALSE),0)+IFERROR(VLOOKUP($B20,'IA1-Final Void inc Ramps'!$A$11:$BN$18,MATCH(Summary!AQ$1,'IA1-Final Void inc Ramps'!$A$9:$BN$9,1),FALSE),0)</f>
        <v>725</v>
      </c>
      <c r="AR20" s="51">
        <f>IFERROR(VLOOKUP($B20,'RA1- Elevated Dumps Upper'!$A$11:$BN$18,MATCH(Summary!AR$1,'RA1- Elevated Dumps Upper'!$A$9:$BN$9,1),FALSE),0)+IFERROR(VLOOKUP($B20,'RA2-Elevated Dumps Slopes'!$A$11:$BN$18,MATCH(Summary!AR$1,'RA2-Elevated Dumps Slopes'!$A$9:$BN$9,1),FALSE),0)+IFERROR(VLOOKUP($B20,'RA3-Backfilled Pits'!$A$11:$BN$18,MATCH(Summary!AR$1,'RA3-Backfilled Pits'!$A$9:$BN$9,1),FALSE),0)+IFERROR(VLOOKUP($B20,'RA4-Tracks_Roads'!$A$11:$BN$18,MATCH(Summary!AR$1,'RA4-Tracks_Roads'!$A$9:$BN$9,1),FALSE),0)+IFERROR(VLOOKUP($B20,'RA5-ROM'!$A$11:$BN$18,MATCH(Summary!AR$1,'RA5-ROM'!$A$9:$BN$9,1),FALSE),0)+IFERROR(VLOOKUP($B20,'RA6-CHPP'!$A$11:$BN$18,MATCH(Summary!AR$1,'RA6-CHPP'!$A$9:$BN$9,1),FALSE),0)+IFERROR(VLOOKUP($B20,'RA7-Mine Infrastructure Area'!$A$11:$BN$18,MATCH(Summary!AR$1,'RA7-Mine Infrastructure Area'!$A$9:$BN$9,1),FALSE),0)+IFERROR(VLOOKUP($B20,'RA8-Water Management Structures'!$A$11:$BN$18,MATCH(Summary!AR$1,'RA8-Water Management Structures'!$A$9:$BN$9,1),FALSE),0)+IFERROR(VLOOKUP($B20,'RA9-Codisposal Upper'!$A$11:$BN$18,MATCH(Summary!AR$1,'RA9-Codisposal Upper'!$A$9:$BN$9,1),FALSE),0)+IFERROR(VLOOKUP($B20,'RA10-Codisposal Slopes'!$A$11:$BN$18,MATCH(Summary!AR$1,'RA10-Codisposal Slopes'!$A$9:$BN$9,1),FALSE),0)+IFERROR(VLOOKUP($B20,'IA1-Final Void inc Ramps'!$A$11:$BN$18,MATCH(Summary!AR$1,'IA1-Final Void inc Ramps'!$A$9:$BN$9,1),FALSE),0)</f>
        <v>725</v>
      </c>
      <c r="AS20" s="51">
        <f>IFERROR(VLOOKUP($B20,'RA1- Elevated Dumps Upper'!$A$11:$BN$18,MATCH(Summary!AS$1,'RA1- Elevated Dumps Upper'!$A$9:$BN$9,1),FALSE),0)+IFERROR(VLOOKUP($B20,'RA2-Elevated Dumps Slopes'!$A$11:$BN$18,MATCH(Summary!AS$1,'RA2-Elevated Dumps Slopes'!$A$9:$BN$9,1),FALSE),0)+IFERROR(VLOOKUP($B20,'RA3-Backfilled Pits'!$A$11:$BN$18,MATCH(Summary!AS$1,'RA3-Backfilled Pits'!$A$9:$BN$9,1),FALSE),0)+IFERROR(VLOOKUP($B20,'RA4-Tracks_Roads'!$A$11:$BN$18,MATCH(Summary!AS$1,'RA4-Tracks_Roads'!$A$9:$BN$9,1),FALSE),0)+IFERROR(VLOOKUP($B20,'RA5-ROM'!$A$11:$BN$18,MATCH(Summary!AS$1,'RA5-ROM'!$A$9:$BN$9,1),FALSE),0)+IFERROR(VLOOKUP($B20,'RA6-CHPP'!$A$11:$BN$18,MATCH(Summary!AS$1,'RA6-CHPP'!$A$9:$BN$9,1),FALSE),0)+IFERROR(VLOOKUP($B20,'RA7-Mine Infrastructure Area'!$A$11:$BN$18,MATCH(Summary!AS$1,'RA7-Mine Infrastructure Area'!$A$9:$BN$9,1),FALSE),0)+IFERROR(VLOOKUP($B20,'RA8-Water Management Structures'!$A$11:$BN$18,MATCH(Summary!AS$1,'RA8-Water Management Structures'!$A$9:$BN$9,1),FALSE),0)+IFERROR(VLOOKUP($B20,'RA9-Codisposal Upper'!$A$11:$BN$18,MATCH(Summary!AS$1,'RA9-Codisposal Upper'!$A$9:$BN$9,1),FALSE),0)+IFERROR(VLOOKUP($B20,'RA10-Codisposal Slopes'!$A$11:$BN$18,MATCH(Summary!AS$1,'RA10-Codisposal Slopes'!$A$9:$BN$9,1),FALSE),0)+IFERROR(VLOOKUP($B20,'IA1-Final Void inc Ramps'!$A$11:$BN$18,MATCH(Summary!AS$1,'IA1-Final Void inc Ramps'!$A$9:$BN$9,1),FALSE),0)</f>
        <v>791</v>
      </c>
      <c r="AT20" s="51">
        <f>IFERROR(VLOOKUP($B20,'RA1- Elevated Dumps Upper'!$A$11:$BN$18,MATCH(Summary!AT$1,'RA1- Elevated Dumps Upper'!$A$9:$BN$9,1),FALSE),0)+IFERROR(VLOOKUP($B20,'RA2-Elevated Dumps Slopes'!$A$11:$BN$18,MATCH(Summary!AT$1,'RA2-Elevated Dumps Slopes'!$A$9:$BN$9,1),FALSE),0)+IFERROR(VLOOKUP($B20,'RA3-Backfilled Pits'!$A$11:$BN$18,MATCH(Summary!AT$1,'RA3-Backfilled Pits'!$A$9:$BN$9,1),FALSE),0)+IFERROR(VLOOKUP($B20,'RA4-Tracks_Roads'!$A$11:$BN$18,MATCH(Summary!AT$1,'RA4-Tracks_Roads'!$A$9:$BN$9,1),FALSE),0)+IFERROR(VLOOKUP($B20,'RA5-ROM'!$A$11:$BN$18,MATCH(Summary!AT$1,'RA5-ROM'!$A$9:$BN$9,1),FALSE),0)+IFERROR(VLOOKUP($B20,'RA6-CHPP'!$A$11:$BN$18,MATCH(Summary!AT$1,'RA6-CHPP'!$A$9:$BN$9,1),FALSE),0)+IFERROR(VLOOKUP($B20,'RA7-Mine Infrastructure Area'!$A$11:$BN$18,MATCH(Summary!AT$1,'RA7-Mine Infrastructure Area'!$A$9:$BN$9,1),FALSE),0)+IFERROR(VLOOKUP($B20,'RA8-Water Management Structures'!$A$11:$BN$18,MATCH(Summary!AT$1,'RA8-Water Management Structures'!$A$9:$BN$9,1),FALSE),0)+IFERROR(VLOOKUP($B20,'RA9-Codisposal Upper'!$A$11:$BN$18,MATCH(Summary!AT$1,'RA9-Codisposal Upper'!$A$9:$BN$9,1),FALSE),0)+IFERROR(VLOOKUP($B20,'RA10-Codisposal Slopes'!$A$11:$BN$18,MATCH(Summary!AT$1,'RA10-Codisposal Slopes'!$A$9:$BN$9,1),FALSE),0)+IFERROR(VLOOKUP($B20,'IA1-Final Void inc Ramps'!$A$11:$BN$18,MATCH(Summary!AT$1,'IA1-Final Void inc Ramps'!$A$9:$BN$9,1),FALSE),0)</f>
        <v>791</v>
      </c>
      <c r="AU20" s="51">
        <f>IFERROR(VLOOKUP($B20,'RA1- Elevated Dumps Upper'!$A$11:$BN$18,MATCH(Summary!AU$1,'RA1- Elevated Dumps Upper'!$A$9:$BN$9,1),FALSE),0)+IFERROR(VLOOKUP($B20,'RA2-Elevated Dumps Slopes'!$A$11:$BN$18,MATCH(Summary!AU$1,'RA2-Elevated Dumps Slopes'!$A$9:$BN$9,1),FALSE),0)+IFERROR(VLOOKUP($B20,'RA3-Backfilled Pits'!$A$11:$BN$18,MATCH(Summary!AU$1,'RA3-Backfilled Pits'!$A$9:$BN$9,1),FALSE),0)+IFERROR(VLOOKUP($B20,'RA4-Tracks_Roads'!$A$11:$BN$18,MATCH(Summary!AU$1,'RA4-Tracks_Roads'!$A$9:$BN$9,1),FALSE),0)+IFERROR(VLOOKUP($B20,'RA5-ROM'!$A$11:$BN$18,MATCH(Summary!AU$1,'RA5-ROM'!$A$9:$BN$9,1),FALSE),0)+IFERROR(VLOOKUP($B20,'RA6-CHPP'!$A$11:$BN$18,MATCH(Summary!AU$1,'RA6-CHPP'!$A$9:$BN$9,1),FALSE),0)+IFERROR(VLOOKUP($B20,'RA7-Mine Infrastructure Area'!$A$11:$BN$18,MATCH(Summary!AU$1,'RA7-Mine Infrastructure Area'!$A$9:$BN$9,1),FALSE),0)+IFERROR(VLOOKUP($B20,'RA8-Water Management Structures'!$A$11:$BN$18,MATCH(Summary!AU$1,'RA8-Water Management Structures'!$A$9:$BN$9,1),FALSE),0)+IFERROR(VLOOKUP($B20,'RA9-Codisposal Upper'!$A$11:$BN$18,MATCH(Summary!AU$1,'RA9-Codisposal Upper'!$A$9:$BN$9,1),FALSE),0)+IFERROR(VLOOKUP($B20,'RA10-Codisposal Slopes'!$A$11:$BN$18,MATCH(Summary!AU$1,'RA10-Codisposal Slopes'!$A$9:$BN$9,1),FALSE),0)+IFERROR(VLOOKUP($B20,'IA1-Final Void inc Ramps'!$A$11:$BN$18,MATCH(Summary!AU$1,'IA1-Final Void inc Ramps'!$A$9:$BN$9,1),FALSE),0)</f>
        <v>791</v>
      </c>
      <c r="AV20" s="51">
        <f>IFERROR(VLOOKUP($B20,'RA1- Elevated Dumps Upper'!$A$11:$BN$18,MATCH(Summary!AV$1,'RA1- Elevated Dumps Upper'!$A$9:$BN$9,1),FALSE),0)+IFERROR(VLOOKUP($B20,'RA2-Elevated Dumps Slopes'!$A$11:$BN$18,MATCH(Summary!AV$1,'RA2-Elevated Dumps Slopes'!$A$9:$BN$9,1),FALSE),0)+IFERROR(VLOOKUP($B20,'RA3-Backfilled Pits'!$A$11:$BN$18,MATCH(Summary!AV$1,'RA3-Backfilled Pits'!$A$9:$BN$9,1),FALSE),0)+IFERROR(VLOOKUP($B20,'RA4-Tracks_Roads'!$A$11:$BN$18,MATCH(Summary!AV$1,'RA4-Tracks_Roads'!$A$9:$BN$9,1),FALSE),0)+IFERROR(VLOOKUP($B20,'RA5-ROM'!$A$11:$BN$18,MATCH(Summary!AV$1,'RA5-ROM'!$A$9:$BN$9,1),FALSE),0)+IFERROR(VLOOKUP($B20,'RA6-CHPP'!$A$11:$BN$18,MATCH(Summary!AV$1,'RA6-CHPP'!$A$9:$BN$9,1),FALSE),0)+IFERROR(VLOOKUP($B20,'RA7-Mine Infrastructure Area'!$A$11:$BN$18,MATCH(Summary!AV$1,'RA7-Mine Infrastructure Area'!$A$9:$BN$9,1),FALSE),0)+IFERROR(VLOOKUP($B20,'RA8-Water Management Structures'!$A$11:$BN$18,MATCH(Summary!AV$1,'RA8-Water Management Structures'!$A$9:$BN$9,1),FALSE),0)+IFERROR(VLOOKUP($B20,'RA9-Codisposal Upper'!$A$11:$BN$18,MATCH(Summary!AV$1,'RA9-Codisposal Upper'!$A$9:$BN$9,1),FALSE),0)+IFERROR(VLOOKUP($B20,'RA10-Codisposal Slopes'!$A$11:$BN$18,MATCH(Summary!AV$1,'RA10-Codisposal Slopes'!$A$9:$BN$9,1),FALSE),0)+IFERROR(VLOOKUP($B20,'IA1-Final Void inc Ramps'!$A$11:$BN$18,MATCH(Summary!AV$1,'IA1-Final Void inc Ramps'!$A$9:$BN$9,1),FALSE),0)</f>
        <v>791</v>
      </c>
      <c r="AW20" s="51">
        <f>IFERROR(VLOOKUP($B20,'RA1- Elevated Dumps Upper'!$A$11:$BN$18,MATCH(Summary!AW$1,'RA1- Elevated Dumps Upper'!$A$9:$BN$9,1),FALSE),0)+IFERROR(VLOOKUP($B20,'RA2-Elevated Dumps Slopes'!$A$11:$BN$18,MATCH(Summary!AW$1,'RA2-Elevated Dumps Slopes'!$A$9:$BN$9,1),FALSE),0)+IFERROR(VLOOKUP($B20,'RA3-Backfilled Pits'!$A$11:$BN$18,MATCH(Summary!AW$1,'RA3-Backfilled Pits'!$A$9:$BN$9,1),FALSE),0)+IFERROR(VLOOKUP($B20,'RA4-Tracks_Roads'!$A$11:$BN$18,MATCH(Summary!AW$1,'RA4-Tracks_Roads'!$A$9:$BN$9,1),FALSE),0)+IFERROR(VLOOKUP($B20,'RA5-ROM'!$A$11:$BN$18,MATCH(Summary!AW$1,'RA5-ROM'!$A$9:$BN$9,1),FALSE),0)+IFERROR(VLOOKUP($B20,'RA6-CHPP'!$A$11:$BN$18,MATCH(Summary!AW$1,'RA6-CHPP'!$A$9:$BN$9,1),FALSE),0)+IFERROR(VLOOKUP($B20,'RA7-Mine Infrastructure Area'!$A$11:$BN$18,MATCH(Summary!AW$1,'RA7-Mine Infrastructure Area'!$A$9:$BN$9,1),FALSE),0)+IFERROR(VLOOKUP($B20,'RA8-Water Management Structures'!$A$11:$BN$18,MATCH(Summary!AW$1,'RA8-Water Management Structures'!$A$9:$BN$9,1),FALSE),0)+IFERROR(VLOOKUP($B20,'RA9-Codisposal Upper'!$A$11:$BN$18,MATCH(Summary!AW$1,'RA9-Codisposal Upper'!$A$9:$BN$9,1),FALSE),0)+IFERROR(VLOOKUP($B20,'RA10-Codisposal Slopes'!$A$11:$BN$18,MATCH(Summary!AW$1,'RA10-Codisposal Slopes'!$A$9:$BN$9,1),FALSE),0)+IFERROR(VLOOKUP($B20,'IA1-Final Void inc Ramps'!$A$11:$BN$18,MATCH(Summary!AW$1,'IA1-Final Void inc Ramps'!$A$9:$BN$9,1),FALSE),0)</f>
        <v>825</v>
      </c>
      <c r="AX20" s="51">
        <f>IFERROR(VLOOKUP($B20,'RA1- Elevated Dumps Upper'!$A$11:$BN$18,MATCH(Summary!AX$1,'RA1- Elevated Dumps Upper'!$A$9:$BN$9,1),FALSE),0)+IFERROR(VLOOKUP($B20,'RA2-Elevated Dumps Slopes'!$A$11:$BN$18,MATCH(Summary!AX$1,'RA2-Elevated Dumps Slopes'!$A$9:$BN$9,1),FALSE),0)+IFERROR(VLOOKUP($B20,'RA3-Backfilled Pits'!$A$11:$BN$18,MATCH(Summary!AX$1,'RA3-Backfilled Pits'!$A$9:$BN$9,1),FALSE),0)+IFERROR(VLOOKUP($B20,'RA4-Tracks_Roads'!$A$11:$BN$18,MATCH(Summary!AX$1,'RA4-Tracks_Roads'!$A$9:$BN$9,1),FALSE),0)+IFERROR(VLOOKUP($B20,'RA5-ROM'!$A$11:$BN$18,MATCH(Summary!AX$1,'RA5-ROM'!$A$9:$BN$9,1),FALSE),0)+IFERROR(VLOOKUP($B20,'RA6-CHPP'!$A$11:$BN$18,MATCH(Summary!AX$1,'RA6-CHPP'!$A$9:$BN$9,1),FALSE),0)+IFERROR(VLOOKUP($B20,'RA7-Mine Infrastructure Area'!$A$11:$BN$18,MATCH(Summary!AX$1,'RA7-Mine Infrastructure Area'!$A$9:$BN$9,1),FALSE),0)+IFERROR(VLOOKUP($B20,'RA8-Water Management Structures'!$A$11:$BN$18,MATCH(Summary!AX$1,'RA8-Water Management Structures'!$A$9:$BN$9,1),FALSE),0)+IFERROR(VLOOKUP($B20,'RA9-Codisposal Upper'!$A$11:$BN$18,MATCH(Summary!AX$1,'RA9-Codisposal Upper'!$A$9:$BN$9,1),FALSE),0)+IFERROR(VLOOKUP($B20,'RA10-Codisposal Slopes'!$A$11:$BN$18,MATCH(Summary!AX$1,'RA10-Codisposal Slopes'!$A$9:$BN$9,1),FALSE),0)+IFERROR(VLOOKUP($B20,'IA1-Final Void inc Ramps'!$A$11:$BN$18,MATCH(Summary!AX$1,'IA1-Final Void inc Ramps'!$A$9:$BN$9,1),FALSE),0)</f>
        <v>825</v>
      </c>
      <c r="AY20" s="51">
        <f>IFERROR(VLOOKUP($B20,'RA1- Elevated Dumps Upper'!$A$11:$BN$18,MATCH(Summary!AY$1,'RA1- Elevated Dumps Upper'!$A$9:$BN$9,1),FALSE),0)+IFERROR(VLOOKUP($B20,'RA2-Elevated Dumps Slopes'!$A$11:$BN$18,MATCH(Summary!AY$1,'RA2-Elevated Dumps Slopes'!$A$9:$BN$9,1),FALSE),0)+IFERROR(VLOOKUP($B20,'RA3-Backfilled Pits'!$A$11:$BN$18,MATCH(Summary!AY$1,'RA3-Backfilled Pits'!$A$9:$BN$9,1),FALSE),0)+IFERROR(VLOOKUP($B20,'RA4-Tracks_Roads'!$A$11:$BN$18,MATCH(Summary!AY$1,'RA4-Tracks_Roads'!$A$9:$BN$9,1),FALSE),0)+IFERROR(VLOOKUP($B20,'RA5-ROM'!$A$11:$BN$18,MATCH(Summary!AY$1,'RA5-ROM'!$A$9:$BN$9,1),FALSE),0)+IFERROR(VLOOKUP($B20,'RA6-CHPP'!$A$11:$BN$18,MATCH(Summary!AY$1,'RA6-CHPP'!$A$9:$BN$9,1),FALSE),0)+IFERROR(VLOOKUP($B20,'RA7-Mine Infrastructure Area'!$A$11:$BN$18,MATCH(Summary!AY$1,'RA7-Mine Infrastructure Area'!$A$9:$BN$9,1),FALSE),0)+IFERROR(VLOOKUP($B20,'RA8-Water Management Structures'!$A$11:$BN$18,MATCH(Summary!AY$1,'RA8-Water Management Structures'!$A$9:$BN$9,1),FALSE),0)+IFERROR(VLOOKUP($B20,'RA9-Codisposal Upper'!$A$11:$BN$18,MATCH(Summary!AY$1,'RA9-Codisposal Upper'!$A$9:$BN$9,1),FALSE),0)+IFERROR(VLOOKUP($B20,'RA10-Codisposal Slopes'!$A$11:$BN$18,MATCH(Summary!AY$1,'RA10-Codisposal Slopes'!$A$9:$BN$9,1),FALSE),0)+IFERROR(VLOOKUP($B20,'IA1-Final Void inc Ramps'!$A$11:$BN$18,MATCH(Summary!AY$1,'IA1-Final Void inc Ramps'!$A$9:$BN$9,1),FALSE),0)</f>
        <v>825</v>
      </c>
      <c r="AZ20" s="51">
        <f>IFERROR(VLOOKUP($B20,'RA1- Elevated Dumps Upper'!$A$11:$BN$18,MATCH(Summary!AZ$1,'RA1- Elevated Dumps Upper'!$A$9:$BN$9,1),FALSE),0)+IFERROR(VLOOKUP($B20,'RA2-Elevated Dumps Slopes'!$A$11:$BN$18,MATCH(Summary!AZ$1,'RA2-Elevated Dumps Slopes'!$A$9:$BN$9,1),FALSE),0)+IFERROR(VLOOKUP($B20,'RA3-Backfilled Pits'!$A$11:$BN$18,MATCH(Summary!AZ$1,'RA3-Backfilled Pits'!$A$9:$BN$9,1),FALSE),0)+IFERROR(VLOOKUP($B20,'RA4-Tracks_Roads'!$A$11:$BN$18,MATCH(Summary!AZ$1,'RA4-Tracks_Roads'!$A$9:$BN$9,1),FALSE),0)+IFERROR(VLOOKUP($B20,'RA5-ROM'!$A$11:$BN$18,MATCH(Summary!AZ$1,'RA5-ROM'!$A$9:$BN$9,1),FALSE),0)+IFERROR(VLOOKUP($B20,'RA6-CHPP'!$A$11:$BN$18,MATCH(Summary!AZ$1,'RA6-CHPP'!$A$9:$BN$9,1),FALSE),0)+IFERROR(VLOOKUP($B20,'RA7-Mine Infrastructure Area'!$A$11:$BN$18,MATCH(Summary!AZ$1,'RA7-Mine Infrastructure Area'!$A$9:$BN$9,1),FALSE),0)+IFERROR(VLOOKUP($B20,'RA8-Water Management Structures'!$A$11:$BN$18,MATCH(Summary!AZ$1,'RA8-Water Management Structures'!$A$9:$BN$9,1),FALSE),0)+IFERROR(VLOOKUP($B20,'RA9-Codisposal Upper'!$A$11:$BN$18,MATCH(Summary!AZ$1,'RA9-Codisposal Upper'!$A$9:$BN$9,1),FALSE),0)+IFERROR(VLOOKUP($B20,'RA10-Codisposal Slopes'!$A$11:$BN$18,MATCH(Summary!AZ$1,'RA10-Codisposal Slopes'!$A$9:$BN$9,1),FALSE),0)+IFERROR(VLOOKUP($B20,'IA1-Final Void inc Ramps'!$A$11:$BN$18,MATCH(Summary!AZ$1,'IA1-Final Void inc Ramps'!$A$9:$BN$9,1),FALSE),0)</f>
        <v>1004.1</v>
      </c>
      <c r="BA20" s="51">
        <f>IFERROR(VLOOKUP($B20,'RA1- Elevated Dumps Upper'!$A$11:$BN$18,MATCH(Summary!BA$1,'RA1- Elevated Dumps Upper'!$A$9:$BN$9,1),FALSE),0)+IFERROR(VLOOKUP($B20,'RA2-Elevated Dumps Slopes'!$A$11:$BN$18,MATCH(Summary!BA$1,'RA2-Elevated Dumps Slopes'!$A$9:$BN$9,1),FALSE),0)+IFERROR(VLOOKUP($B20,'RA3-Backfilled Pits'!$A$11:$BN$18,MATCH(Summary!BA$1,'RA3-Backfilled Pits'!$A$9:$BN$9,1),FALSE),0)+IFERROR(VLOOKUP($B20,'RA4-Tracks_Roads'!$A$11:$BN$18,MATCH(Summary!BA$1,'RA4-Tracks_Roads'!$A$9:$BN$9,1),FALSE),0)+IFERROR(VLOOKUP($B20,'RA5-ROM'!$A$11:$BN$18,MATCH(Summary!BA$1,'RA5-ROM'!$A$9:$BN$9,1),FALSE),0)+IFERROR(VLOOKUP($B20,'RA6-CHPP'!$A$11:$BN$18,MATCH(Summary!BA$1,'RA6-CHPP'!$A$9:$BN$9,1),FALSE),0)+IFERROR(VLOOKUP($B20,'RA7-Mine Infrastructure Area'!$A$11:$BN$18,MATCH(Summary!BA$1,'RA7-Mine Infrastructure Area'!$A$9:$BN$9,1),FALSE),0)+IFERROR(VLOOKUP($B20,'RA8-Water Management Structures'!$A$11:$BN$18,MATCH(Summary!BA$1,'RA8-Water Management Structures'!$A$9:$BN$9,1),FALSE),0)+IFERROR(VLOOKUP($B20,'RA9-Codisposal Upper'!$A$11:$BN$18,MATCH(Summary!BA$1,'RA9-Codisposal Upper'!$A$9:$BN$9,1),FALSE),0)+IFERROR(VLOOKUP($B20,'RA10-Codisposal Slopes'!$A$11:$BN$18,MATCH(Summary!BA$1,'RA10-Codisposal Slopes'!$A$9:$BN$9,1),FALSE),0)+IFERROR(VLOOKUP($B20,'IA1-Final Void inc Ramps'!$A$11:$BN$18,MATCH(Summary!BA$1,'IA1-Final Void inc Ramps'!$A$9:$BN$9,1),FALSE),0)</f>
        <v>1004.1</v>
      </c>
      <c r="BB20" s="51">
        <f>IFERROR(VLOOKUP($B20,'RA1- Elevated Dumps Upper'!$A$11:$BN$18,MATCH(Summary!BB$1,'RA1- Elevated Dumps Upper'!$A$9:$BN$9,1),FALSE),0)+IFERROR(VLOOKUP($B20,'RA2-Elevated Dumps Slopes'!$A$11:$BN$18,MATCH(Summary!BB$1,'RA2-Elevated Dumps Slopes'!$A$9:$BN$9,1),FALSE),0)+IFERROR(VLOOKUP($B20,'RA3-Backfilled Pits'!$A$11:$BN$18,MATCH(Summary!BB$1,'RA3-Backfilled Pits'!$A$9:$BN$9,1),FALSE),0)+IFERROR(VLOOKUP($B20,'RA4-Tracks_Roads'!$A$11:$BN$18,MATCH(Summary!BB$1,'RA4-Tracks_Roads'!$A$9:$BN$9,1),FALSE),0)+IFERROR(VLOOKUP($B20,'RA5-ROM'!$A$11:$BN$18,MATCH(Summary!BB$1,'RA5-ROM'!$A$9:$BN$9,1),FALSE),0)+IFERROR(VLOOKUP($B20,'RA6-CHPP'!$A$11:$BN$18,MATCH(Summary!BB$1,'RA6-CHPP'!$A$9:$BN$9,1),FALSE),0)+IFERROR(VLOOKUP($B20,'RA7-Mine Infrastructure Area'!$A$11:$BN$18,MATCH(Summary!BB$1,'RA7-Mine Infrastructure Area'!$A$9:$BN$9,1),FALSE),0)+IFERROR(VLOOKUP($B20,'RA8-Water Management Structures'!$A$11:$BN$18,MATCH(Summary!BB$1,'RA8-Water Management Structures'!$A$9:$BN$9,1),FALSE),0)+IFERROR(VLOOKUP($B20,'RA9-Codisposal Upper'!$A$11:$BN$18,MATCH(Summary!BB$1,'RA9-Codisposal Upper'!$A$9:$BN$9,1),FALSE),0)+IFERROR(VLOOKUP($B20,'RA10-Codisposal Slopes'!$A$11:$BN$18,MATCH(Summary!BB$1,'RA10-Codisposal Slopes'!$A$9:$BN$9,1),FALSE),0)+IFERROR(VLOOKUP($B20,'IA1-Final Void inc Ramps'!$A$11:$BN$18,MATCH(Summary!BB$1,'IA1-Final Void inc Ramps'!$A$9:$BN$9,1),FALSE),0)</f>
        <v>1331.3999999999999</v>
      </c>
      <c r="BC20" s="51">
        <f>IFERROR(VLOOKUP($B20,'RA1- Elevated Dumps Upper'!$A$11:$BN$18,MATCH(Summary!BC$1,'RA1- Elevated Dumps Upper'!$A$9:$BN$9,1),FALSE),0)+IFERROR(VLOOKUP($B20,'RA2-Elevated Dumps Slopes'!$A$11:$BN$18,MATCH(Summary!BC$1,'RA2-Elevated Dumps Slopes'!$A$9:$BN$9,1),FALSE),0)+IFERROR(VLOOKUP($B20,'RA3-Backfilled Pits'!$A$11:$BN$18,MATCH(Summary!BC$1,'RA3-Backfilled Pits'!$A$9:$BN$9,1),FALSE),0)+IFERROR(VLOOKUP($B20,'RA4-Tracks_Roads'!$A$11:$BN$18,MATCH(Summary!BC$1,'RA4-Tracks_Roads'!$A$9:$BN$9,1),FALSE),0)+IFERROR(VLOOKUP($B20,'RA5-ROM'!$A$11:$BN$18,MATCH(Summary!BC$1,'RA5-ROM'!$A$9:$BN$9,1),FALSE),0)+IFERROR(VLOOKUP($B20,'RA6-CHPP'!$A$11:$BN$18,MATCH(Summary!BC$1,'RA6-CHPP'!$A$9:$BN$9,1),FALSE),0)+IFERROR(VLOOKUP($B20,'RA7-Mine Infrastructure Area'!$A$11:$BN$18,MATCH(Summary!BC$1,'RA7-Mine Infrastructure Area'!$A$9:$BN$9,1),FALSE),0)+IFERROR(VLOOKUP($B20,'RA8-Water Management Structures'!$A$11:$BN$18,MATCH(Summary!BC$1,'RA8-Water Management Structures'!$A$9:$BN$9,1),FALSE),0)+IFERROR(VLOOKUP($B20,'RA9-Codisposal Upper'!$A$11:$BN$18,MATCH(Summary!BC$1,'RA9-Codisposal Upper'!$A$9:$BN$9,1),FALSE),0)+IFERROR(VLOOKUP($B20,'RA10-Codisposal Slopes'!$A$11:$BN$18,MATCH(Summary!BC$1,'RA10-Codisposal Slopes'!$A$9:$BN$9,1),FALSE),0)+IFERROR(VLOOKUP($B20,'IA1-Final Void inc Ramps'!$A$11:$BN$18,MATCH(Summary!BC$1,'IA1-Final Void inc Ramps'!$A$9:$BN$9,1),FALSE),0)</f>
        <v>1331.3999999999999</v>
      </c>
      <c r="BD20" s="51">
        <f>IFERROR(VLOOKUP($B20,'RA1- Elevated Dumps Upper'!$A$11:$BN$18,MATCH(Summary!BD$1,'RA1- Elevated Dumps Upper'!$A$9:$BN$9,1),FALSE),0)+IFERROR(VLOOKUP($B20,'RA2-Elevated Dumps Slopes'!$A$11:$BN$18,MATCH(Summary!BD$1,'RA2-Elevated Dumps Slopes'!$A$9:$BN$9,1),FALSE),0)+IFERROR(VLOOKUP($B20,'RA3-Backfilled Pits'!$A$11:$BN$18,MATCH(Summary!BD$1,'RA3-Backfilled Pits'!$A$9:$BN$9,1),FALSE),0)+IFERROR(VLOOKUP($B20,'RA4-Tracks_Roads'!$A$11:$BN$18,MATCH(Summary!BD$1,'RA4-Tracks_Roads'!$A$9:$BN$9,1),FALSE),0)+IFERROR(VLOOKUP($B20,'RA5-ROM'!$A$11:$BN$18,MATCH(Summary!BD$1,'RA5-ROM'!$A$9:$BN$9,1),FALSE),0)+IFERROR(VLOOKUP($B20,'RA6-CHPP'!$A$11:$BN$18,MATCH(Summary!BD$1,'RA6-CHPP'!$A$9:$BN$9,1),FALSE),0)+IFERROR(VLOOKUP($B20,'RA7-Mine Infrastructure Area'!$A$11:$BN$18,MATCH(Summary!BD$1,'RA7-Mine Infrastructure Area'!$A$9:$BN$9,1),FALSE),0)+IFERROR(VLOOKUP($B20,'RA8-Water Management Structures'!$A$11:$BN$18,MATCH(Summary!BD$1,'RA8-Water Management Structures'!$A$9:$BN$9,1),FALSE),0)+IFERROR(VLOOKUP($B20,'RA9-Codisposal Upper'!$A$11:$BN$18,MATCH(Summary!BD$1,'RA9-Codisposal Upper'!$A$9:$BN$9,1),FALSE),0)+IFERROR(VLOOKUP($B20,'RA10-Codisposal Slopes'!$A$11:$BN$18,MATCH(Summary!BD$1,'RA10-Codisposal Slopes'!$A$9:$BN$9,1),FALSE),0)+IFERROR(VLOOKUP($B20,'IA1-Final Void inc Ramps'!$A$11:$BN$18,MATCH(Summary!BD$1,'IA1-Final Void inc Ramps'!$A$9:$BN$9,1),FALSE),0)</f>
        <v>1331.3999999999999</v>
      </c>
      <c r="BE20" s="51">
        <f>IFERROR(VLOOKUP($B20,'RA1- Elevated Dumps Upper'!$A$11:$BN$18,MATCH(Summary!BE$1,'RA1- Elevated Dumps Upper'!$A$9:$BN$9,1),FALSE),0)+IFERROR(VLOOKUP($B20,'RA2-Elevated Dumps Slopes'!$A$11:$BN$18,MATCH(Summary!BE$1,'RA2-Elevated Dumps Slopes'!$A$9:$BN$9,1),FALSE),0)+IFERROR(VLOOKUP($B20,'RA3-Backfilled Pits'!$A$11:$BN$18,MATCH(Summary!BE$1,'RA3-Backfilled Pits'!$A$9:$BN$9,1),FALSE),0)+IFERROR(VLOOKUP($B20,'RA4-Tracks_Roads'!$A$11:$BN$18,MATCH(Summary!BE$1,'RA4-Tracks_Roads'!$A$9:$BN$9,1),FALSE),0)+IFERROR(VLOOKUP($B20,'RA5-ROM'!$A$11:$BN$18,MATCH(Summary!BE$1,'RA5-ROM'!$A$9:$BN$9,1),FALSE),0)+IFERROR(VLOOKUP($B20,'RA6-CHPP'!$A$11:$BN$18,MATCH(Summary!BE$1,'RA6-CHPP'!$A$9:$BN$9,1),FALSE),0)+IFERROR(VLOOKUP($B20,'RA7-Mine Infrastructure Area'!$A$11:$BN$18,MATCH(Summary!BE$1,'RA7-Mine Infrastructure Area'!$A$9:$BN$9,1),FALSE),0)+IFERROR(VLOOKUP($B20,'RA8-Water Management Structures'!$A$11:$BN$18,MATCH(Summary!BE$1,'RA8-Water Management Structures'!$A$9:$BN$9,1),FALSE),0)+IFERROR(VLOOKUP($B20,'RA9-Codisposal Upper'!$A$11:$BN$18,MATCH(Summary!BE$1,'RA9-Codisposal Upper'!$A$9:$BN$9,1),FALSE),0)+IFERROR(VLOOKUP($B20,'RA10-Codisposal Slopes'!$A$11:$BN$18,MATCH(Summary!BE$1,'RA10-Codisposal Slopes'!$A$9:$BN$9,1),FALSE),0)+IFERROR(VLOOKUP($B20,'IA1-Final Void inc Ramps'!$A$11:$BN$18,MATCH(Summary!BE$1,'IA1-Final Void inc Ramps'!$A$9:$BN$9,1),FALSE),0)</f>
        <v>1331.3999999999999</v>
      </c>
      <c r="BF20" s="51">
        <f>IFERROR(VLOOKUP($B20,'RA1- Elevated Dumps Upper'!$A$11:$BN$18,MATCH(Summary!BF$1,'RA1- Elevated Dumps Upper'!$A$9:$BN$9,1),FALSE),0)+IFERROR(VLOOKUP($B20,'RA2-Elevated Dumps Slopes'!$A$11:$BN$18,MATCH(Summary!BF$1,'RA2-Elevated Dumps Slopes'!$A$9:$BN$9,1),FALSE),0)+IFERROR(VLOOKUP($B20,'RA3-Backfilled Pits'!$A$11:$BN$18,MATCH(Summary!BF$1,'RA3-Backfilled Pits'!$A$9:$BN$9,1),FALSE),0)+IFERROR(VLOOKUP($B20,'RA4-Tracks_Roads'!$A$11:$BN$18,MATCH(Summary!BF$1,'RA4-Tracks_Roads'!$A$9:$BN$9,1),FALSE),0)+IFERROR(VLOOKUP($B20,'RA5-ROM'!$A$11:$BN$18,MATCH(Summary!BF$1,'RA5-ROM'!$A$9:$BN$9,1),FALSE),0)+IFERROR(VLOOKUP($B20,'RA6-CHPP'!$A$11:$BN$18,MATCH(Summary!BF$1,'RA6-CHPP'!$A$9:$BN$9,1),FALSE),0)+IFERROR(VLOOKUP($B20,'RA7-Mine Infrastructure Area'!$A$11:$BN$18,MATCH(Summary!BF$1,'RA7-Mine Infrastructure Area'!$A$9:$BN$9,1),FALSE),0)+IFERROR(VLOOKUP($B20,'RA8-Water Management Structures'!$A$11:$BN$18,MATCH(Summary!BF$1,'RA8-Water Management Structures'!$A$9:$BN$9,1),FALSE),0)+IFERROR(VLOOKUP($B20,'RA9-Codisposal Upper'!$A$11:$BN$18,MATCH(Summary!BF$1,'RA9-Codisposal Upper'!$A$9:$BN$9,1),FALSE),0)+IFERROR(VLOOKUP($B20,'RA10-Codisposal Slopes'!$A$11:$BN$18,MATCH(Summary!BF$1,'RA10-Codisposal Slopes'!$A$9:$BN$9,1),FALSE),0)+IFERROR(VLOOKUP($B20,'IA1-Final Void inc Ramps'!$A$11:$BN$18,MATCH(Summary!BF$1,'IA1-Final Void inc Ramps'!$A$9:$BN$9,1),FALSE),0)</f>
        <v>1331.3999999999999</v>
      </c>
      <c r="BG20" s="51">
        <f>IFERROR(VLOOKUP($B20,'RA1- Elevated Dumps Upper'!$A$11:$BN$18,MATCH(Summary!BG$1,'RA1- Elevated Dumps Upper'!$A$9:$BN$9,1),FALSE),0)+IFERROR(VLOOKUP($B20,'RA2-Elevated Dumps Slopes'!$A$11:$BN$18,MATCH(Summary!BG$1,'RA2-Elevated Dumps Slopes'!$A$9:$BN$9,1),FALSE),0)+IFERROR(VLOOKUP($B20,'RA3-Backfilled Pits'!$A$11:$BN$18,MATCH(Summary!BG$1,'RA3-Backfilled Pits'!$A$9:$BN$9,1),FALSE),0)+IFERROR(VLOOKUP($B20,'RA4-Tracks_Roads'!$A$11:$BN$18,MATCH(Summary!BG$1,'RA4-Tracks_Roads'!$A$9:$BN$9,1),FALSE),0)+IFERROR(VLOOKUP($B20,'RA5-ROM'!$A$11:$BN$18,MATCH(Summary!BG$1,'RA5-ROM'!$A$9:$BN$9,1),FALSE),0)+IFERROR(VLOOKUP($B20,'RA6-CHPP'!$A$11:$BN$18,MATCH(Summary!BG$1,'RA6-CHPP'!$A$9:$BN$9,1),FALSE),0)+IFERROR(VLOOKUP($B20,'RA7-Mine Infrastructure Area'!$A$11:$BN$18,MATCH(Summary!BG$1,'RA7-Mine Infrastructure Area'!$A$9:$BN$9,1),FALSE),0)+IFERROR(VLOOKUP($B20,'RA8-Water Management Structures'!$A$11:$BN$18,MATCH(Summary!BG$1,'RA8-Water Management Structures'!$A$9:$BN$9,1),FALSE),0)+IFERROR(VLOOKUP($B20,'RA9-Codisposal Upper'!$A$11:$BN$18,MATCH(Summary!BG$1,'RA9-Codisposal Upper'!$A$9:$BN$9,1),FALSE),0)+IFERROR(VLOOKUP($B20,'RA10-Codisposal Slopes'!$A$11:$BN$18,MATCH(Summary!BG$1,'RA10-Codisposal Slopes'!$A$9:$BN$9,1),FALSE),0)+IFERROR(VLOOKUP($B20,'IA1-Final Void inc Ramps'!$A$11:$BN$18,MATCH(Summary!BG$1,'IA1-Final Void inc Ramps'!$A$9:$BN$9,1),FALSE),0)</f>
        <v>1331.3999999999999</v>
      </c>
      <c r="BH20" s="51">
        <f>IFERROR(VLOOKUP($B20,'RA1- Elevated Dumps Upper'!$A$11:$BN$18,MATCH(Summary!BH$1,'RA1- Elevated Dumps Upper'!$A$9:$BN$9,1),FALSE),0)+IFERROR(VLOOKUP($B20,'RA2-Elevated Dumps Slopes'!$A$11:$BN$18,MATCH(Summary!BH$1,'RA2-Elevated Dumps Slopes'!$A$9:$BN$9,1),FALSE),0)+IFERROR(VLOOKUP($B20,'RA3-Backfilled Pits'!$A$11:$BN$18,MATCH(Summary!BH$1,'RA3-Backfilled Pits'!$A$9:$BN$9,1),FALSE),0)+IFERROR(VLOOKUP($B20,'RA4-Tracks_Roads'!$A$11:$BN$18,MATCH(Summary!BH$1,'RA4-Tracks_Roads'!$A$9:$BN$9,1),FALSE),0)+IFERROR(VLOOKUP($B20,'RA5-ROM'!$A$11:$BN$18,MATCH(Summary!BH$1,'RA5-ROM'!$A$9:$BN$9,1),FALSE),0)+IFERROR(VLOOKUP($B20,'RA6-CHPP'!$A$11:$BN$18,MATCH(Summary!BH$1,'RA6-CHPP'!$A$9:$BN$9,1),FALSE),0)+IFERROR(VLOOKUP($B20,'RA7-Mine Infrastructure Area'!$A$11:$BN$18,MATCH(Summary!BH$1,'RA7-Mine Infrastructure Area'!$A$9:$BN$9,1),FALSE),0)+IFERROR(VLOOKUP($B20,'RA8-Water Management Structures'!$A$11:$BN$18,MATCH(Summary!BH$1,'RA8-Water Management Structures'!$A$9:$BN$9,1),FALSE),0)+IFERROR(VLOOKUP($B20,'RA9-Codisposal Upper'!$A$11:$BN$18,MATCH(Summary!BH$1,'RA9-Codisposal Upper'!$A$9:$BN$9,1),FALSE),0)+IFERROR(VLOOKUP($B20,'RA10-Codisposal Slopes'!$A$11:$BN$18,MATCH(Summary!BH$1,'RA10-Codisposal Slopes'!$A$9:$BN$9,1),FALSE),0)+IFERROR(VLOOKUP($B20,'IA1-Final Void inc Ramps'!$A$11:$BN$18,MATCH(Summary!BH$1,'IA1-Final Void inc Ramps'!$A$9:$BN$9,1),FALSE),0)</f>
        <v>1331.3999999999999</v>
      </c>
      <c r="BI20" s="51">
        <f>IFERROR(VLOOKUP($B20,'RA1- Elevated Dumps Upper'!$A$11:$BN$18,MATCH(Summary!BI$1,'RA1- Elevated Dumps Upper'!$A$9:$BN$9,1),FALSE),0)+IFERROR(VLOOKUP($B20,'RA2-Elevated Dumps Slopes'!$A$11:$BN$18,MATCH(Summary!BI$1,'RA2-Elevated Dumps Slopes'!$A$9:$BN$9,1),FALSE),0)+IFERROR(VLOOKUP($B20,'RA3-Backfilled Pits'!$A$11:$BN$18,MATCH(Summary!BI$1,'RA3-Backfilled Pits'!$A$9:$BN$9,1),FALSE),0)+IFERROR(VLOOKUP($B20,'RA4-Tracks_Roads'!$A$11:$BN$18,MATCH(Summary!BI$1,'RA4-Tracks_Roads'!$A$9:$BN$9,1),FALSE),0)+IFERROR(VLOOKUP($B20,'RA5-ROM'!$A$11:$BN$18,MATCH(Summary!BI$1,'RA5-ROM'!$A$9:$BN$9,1),FALSE),0)+IFERROR(VLOOKUP($B20,'RA6-CHPP'!$A$11:$BN$18,MATCH(Summary!BI$1,'RA6-CHPP'!$A$9:$BN$9,1),FALSE),0)+IFERROR(VLOOKUP($B20,'RA7-Mine Infrastructure Area'!$A$11:$BN$18,MATCH(Summary!BI$1,'RA7-Mine Infrastructure Area'!$A$9:$BN$9,1),FALSE),0)+IFERROR(VLOOKUP($B20,'RA8-Water Management Structures'!$A$11:$BN$18,MATCH(Summary!BI$1,'RA8-Water Management Structures'!$A$9:$BN$9,1),FALSE),0)+IFERROR(VLOOKUP($B20,'RA9-Codisposal Upper'!$A$11:$BN$18,MATCH(Summary!BI$1,'RA9-Codisposal Upper'!$A$9:$BN$9,1),FALSE),0)+IFERROR(VLOOKUP($B20,'RA10-Codisposal Slopes'!$A$11:$BN$18,MATCH(Summary!BI$1,'RA10-Codisposal Slopes'!$A$9:$BN$9,1),FALSE),0)+IFERROR(VLOOKUP($B20,'IA1-Final Void inc Ramps'!$A$11:$BN$18,MATCH(Summary!BI$1,'IA1-Final Void inc Ramps'!$A$9:$BN$9,1),FALSE),0)</f>
        <v>1331.3999999999999</v>
      </c>
      <c r="BJ20" s="51">
        <f>IFERROR(VLOOKUP($B20,'RA1- Elevated Dumps Upper'!$A$11:$BN$18,MATCH(Summary!BJ$1,'RA1- Elevated Dumps Upper'!$A$9:$BN$9,1),FALSE),0)+IFERROR(VLOOKUP($B20,'RA2-Elevated Dumps Slopes'!$A$11:$BN$18,MATCH(Summary!BJ$1,'RA2-Elevated Dumps Slopes'!$A$9:$BN$9,1),FALSE),0)+IFERROR(VLOOKUP($B20,'RA3-Backfilled Pits'!$A$11:$BN$18,MATCH(Summary!BJ$1,'RA3-Backfilled Pits'!$A$9:$BN$9,1),FALSE),0)+IFERROR(VLOOKUP($B20,'RA4-Tracks_Roads'!$A$11:$BN$18,MATCH(Summary!BJ$1,'RA4-Tracks_Roads'!$A$9:$BN$9,1),FALSE),0)+IFERROR(VLOOKUP($B20,'RA5-ROM'!$A$11:$BN$18,MATCH(Summary!BJ$1,'RA5-ROM'!$A$9:$BN$9,1),FALSE),0)+IFERROR(VLOOKUP($B20,'RA6-CHPP'!$A$11:$BN$18,MATCH(Summary!BJ$1,'RA6-CHPP'!$A$9:$BN$9,1),FALSE),0)+IFERROR(VLOOKUP($B20,'RA7-Mine Infrastructure Area'!$A$11:$BN$18,MATCH(Summary!BJ$1,'RA7-Mine Infrastructure Area'!$A$9:$BN$9,1),FALSE),0)+IFERROR(VLOOKUP($B20,'RA8-Water Management Structures'!$A$11:$BN$18,MATCH(Summary!BJ$1,'RA8-Water Management Structures'!$A$9:$BN$9,1),FALSE),0)+IFERROR(VLOOKUP($B20,'RA9-Codisposal Upper'!$A$11:$BN$18,MATCH(Summary!BJ$1,'RA9-Codisposal Upper'!$A$9:$BN$9,1),FALSE),0)+IFERROR(VLOOKUP($B20,'RA10-Codisposal Slopes'!$A$11:$BN$18,MATCH(Summary!BJ$1,'RA10-Codisposal Slopes'!$A$9:$BN$9,1),FALSE),0)+IFERROR(VLOOKUP($B20,'IA1-Final Void inc Ramps'!$A$11:$BN$18,MATCH(Summary!BJ$1,'IA1-Final Void inc Ramps'!$A$9:$BN$9,1),FALSE),0)</f>
        <v>1331.3999999999999</v>
      </c>
      <c r="BK20" s="51">
        <f>IFERROR(VLOOKUP($B20,'RA1- Elevated Dumps Upper'!$A$11:$BN$18,MATCH(Summary!BK$1,'RA1- Elevated Dumps Upper'!$A$9:$BN$9,1),FALSE),0)+IFERROR(VLOOKUP($B20,'RA2-Elevated Dumps Slopes'!$A$11:$BN$18,MATCH(Summary!BK$1,'RA2-Elevated Dumps Slopes'!$A$9:$BN$9,1),FALSE),0)+IFERROR(VLOOKUP($B20,'RA3-Backfilled Pits'!$A$11:$BN$18,MATCH(Summary!BK$1,'RA3-Backfilled Pits'!$A$9:$BN$9,1),FALSE),0)+IFERROR(VLOOKUP($B20,'RA4-Tracks_Roads'!$A$11:$BN$18,MATCH(Summary!BK$1,'RA4-Tracks_Roads'!$A$9:$BN$9,1),FALSE),0)+IFERROR(VLOOKUP($B20,'RA5-ROM'!$A$11:$BN$18,MATCH(Summary!BK$1,'RA5-ROM'!$A$9:$BN$9,1),FALSE),0)+IFERROR(VLOOKUP($B20,'RA6-CHPP'!$A$11:$BN$18,MATCH(Summary!BK$1,'RA6-CHPP'!$A$9:$BN$9,1),FALSE),0)+IFERROR(VLOOKUP($B20,'RA7-Mine Infrastructure Area'!$A$11:$BN$18,MATCH(Summary!BK$1,'RA7-Mine Infrastructure Area'!$A$9:$BN$9,1),FALSE),0)+IFERROR(VLOOKUP($B20,'RA8-Water Management Structures'!$A$11:$BN$18,MATCH(Summary!BK$1,'RA8-Water Management Structures'!$A$9:$BN$9,1),FALSE),0)+IFERROR(VLOOKUP($B20,'RA9-Codisposal Upper'!$A$11:$BN$18,MATCH(Summary!BK$1,'RA9-Codisposal Upper'!$A$9:$BN$9,1),FALSE),0)+IFERROR(VLOOKUP($B20,'RA10-Codisposal Slopes'!$A$11:$BN$18,MATCH(Summary!BK$1,'RA10-Codisposal Slopes'!$A$9:$BN$9,1),FALSE),0)+IFERROR(VLOOKUP($B20,'IA1-Final Void inc Ramps'!$A$11:$BN$18,MATCH(Summary!BK$1,'IA1-Final Void inc Ramps'!$A$9:$BN$9,1),FALSE),0)</f>
        <v>1331.3999999999999</v>
      </c>
      <c r="BL20" s="51">
        <f>IFERROR(VLOOKUP($B20,'RA1- Elevated Dumps Upper'!$A$11:$BN$18,MATCH(Summary!BL$1,'RA1- Elevated Dumps Upper'!$A$9:$BN$9,1),FALSE),0)+IFERROR(VLOOKUP($B20,'RA2-Elevated Dumps Slopes'!$A$11:$BN$18,MATCH(Summary!BL$1,'RA2-Elevated Dumps Slopes'!$A$9:$BN$9,1),FALSE),0)+IFERROR(VLOOKUP($B20,'RA3-Backfilled Pits'!$A$11:$BN$18,MATCH(Summary!BL$1,'RA3-Backfilled Pits'!$A$9:$BN$9,1),FALSE),0)+IFERROR(VLOOKUP($B20,'RA4-Tracks_Roads'!$A$11:$BN$18,MATCH(Summary!BL$1,'RA4-Tracks_Roads'!$A$9:$BN$9,1),FALSE),0)+IFERROR(VLOOKUP($B20,'RA5-ROM'!$A$11:$BN$18,MATCH(Summary!BL$1,'RA5-ROM'!$A$9:$BN$9,1),FALSE),0)+IFERROR(VLOOKUP($B20,'RA6-CHPP'!$A$11:$BN$18,MATCH(Summary!BL$1,'RA6-CHPP'!$A$9:$BN$9,1),FALSE),0)+IFERROR(VLOOKUP($B20,'RA7-Mine Infrastructure Area'!$A$11:$BN$18,MATCH(Summary!BL$1,'RA7-Mine Infrastructure Area'!$A$9:$BN$9,1),FALSE),0)+IFERROR(VLOOKUP($B20,'RA8-Water Management Structures'!$A$11:$BN$18,MATCH(Summary!BL$1,'RA8-Water Management Structures'!$A$9:$BN$9,1),FALSE),0)+IFERROR(VLOOKUP($B20,'RA9-Codisposal Upper'!$A$11:$BN$18,MATCH(Summary!BL$1,'RA9-Codisposal Upper'!$A$9:$BN$9,1),FALSE),0)+IFERROR(VLOOKUP($B20,'RA10-Codisposal Slopes'!$A$11:$BN$18,MATCH(Summary!BL$1,'RA10-Codisposal Slopes'!$A$9:$BN$9,1),FALSE),0)+IFERROR(VLOOKUP($B20,'IA1-Final Void inc Ramps'!$A$11:$BN$18,MATCH(Summary!BL$1,'IA1-Final Void inc Ramps'!$A$9:$BN$9,1),FALSE),0)</f>
        <v>1331.3999999999999</v>
      </c>
      <c r="BM20" s="51">
        <f>IFERROR(VLOOKUP($B20,'RA1- Elevated Dumps Upper'!$A$11:$BN$18,MATCH(Summary!BM$1,'RA1- Elevated Dumps Upper'!$A$9:$BN$9,1),FALSE),0)+IFERROR(VLOOKUP($B20,'RA2-Elevated Dumps Slopes'!$A$11:$BN$18,MATCH(Summary!BM$1,'RA2-Elevated Dumps Slopes'!$A$9:$BN$9,1),FALSE),0)+IFERROR(VLOOKUP($B20,'RA3-Backfilled Pits'!$A$11:$BN$18,MATCH(Summary!BM$1,'RA3-Backfilled Pits'!$A$9:$BN$9,1),FALSE),0)+IFERROR(VLOOKUP($B20,'RA4-Tracks_Roads'!$A$11:$BN$18,MATCH(Summary!BM$1,'RA4-Tracks_Roads'!$A$9:$BN$9,1),FALSE),0)+IFERROR(VLOOKUP($B20,'RA5-ROM'!$A$11:$BN$18,MATCH(Summary!BM$1,'RA5-ROM'!$A$9:$BN$9,1),FALSE),0)+IFERROR(VLOOKUP($B20,'RA6-CHPP'!$A$11:$BN$18,MATCH(Summary!BM$1,'RA6-CHPP'!$A$9:$BN$9,1),FALSE),0)+IFERROR(VLOOKUP($B20,'RA7-Mine Infrastructure Area'!$A$11:$BN$18,MATCH(Summary!BM$1,'RA7-Mine Infrastructure Area'!$A$9:$BN$9,1),FALSE),0)+IFERROR(VLOOKUP($B20,'RA8-Water Management Structures'!$A$11:$BN$18,MATCH(Summary!BM$1,'RA8-Water Management Structures'!$A$9:$BN$9,1),FALSE),0)+IFERROR(VLOOKUP($B20,'RA9-Codisposal Upper'!$A$11:$BN$18,MATCH(Summary!BM$1,'RA9-Codisposal Upper'!$A$9:$BN$9,1),FALSE),0)+IFERROR(VLOOKUP($B20,'RA10-Codisposal Slopes'!$A$11:$BN$18,MATCH(Summary!BM$1,'RA10-Codisposal Slopes'!$A$9:$BN$9,1),FALSE),0)+IFERROR(VLOOKUP($B20,'IA1-Final Void inc Ramps'!$A$11:$BN$18,MATCH(Summary!BM$1,'IA1-Final Void inc Ramps'!$A$9:$BN$9,1),FALSE),0)</f>
        <v>1331.3999999999999</v>
      </c>
      <c r="BN20" s="51">
        <f>IFERROR(VLOOKUP($B20,'RA1- Elevated Dumps Upper'!$A$11:$BN$18,MATCH(Summary!BN$1,'RA1- Elevated Dumps Upper'!$A$9:$BN$9,1),FALSE),0)+IFERROR(VLOOKUP($B20,'RA2-Elevated Dumps Slopes'!$A$11:$BN$18,MATCH(Summary!BN$1,'RA2-Elevated Dumps Slopes'!$A$9:$BN$9,1),FALSE),0)+IFERROR(VLOOKUP($B20,'RA3-Backfilled Pits'!$A$11:$BN$18,MATCH(Summary!BN$1,'RA3-Backfilled Pits'!$A$9:$BN$9,1),FALSE),0)+IFERROR(VLOOKUP($B20,'RA4-Tracks_Roads'!$A$11:$BN$18,MATCH(Summary!BN$1,'RA4-Tracks_Roads'!$A$9:$BN$9,1),FALSE),0)+IFERROR(VLOOKUP($B20,'RA5-ROM'!$A$11:$BN$18,MATCH(Summary!BN$1,'RA5-ROM'!$A$9:$BN$9,1),FALSE),0)+IFERROR(VLOOKUP($B20,'RA6-CHPP'!$A$11:$BN$18,MATCH(Summary!BN$1,'RA6-CHPP'!$A$9:$BN$9,1),FALSE),0)+IFERROR(VLOOKUP($B20,'RA7-Mine Infrastructure Area'!$A$11:$BN$18,MATCH(Summary!BN$1,'RA7-Mine Infrastructure Area'!$A$9:$BN$9,1),FALSE),0)+IFERROR(VLOOKUP($B20,'RA8-Water Management Structures'!$A$11:$BN$18,MATCH(Summary!BN$1,'RA8-Water Management Structures'!$A$9:$BN$9,1),FALSE),0)+IFERROR(VLOOKUP($B20,'RA9-Codisposal Upper'!$A$11:$BN$18,MATCH(Summary!BN$1,'RA9-Codisposal Upper'!$A$9:$BN$9,1),FALSE),0)+IFERROR(VLOOKUP($B20,'RA10-Codisposal Slopes'!$A$11:$BN$18,MATCH(Summary!BN$1,'RA10-Codisposal Slopes'!$A$9:$BN$9,1),FALSE),0)+IFERROR(VLOOKUP($B20,'IA1-Final Void inc Ramps'!$A$11:$BN$18,MATCH(Summary!BN$1,'IA1-Final Void inc Ramps'!$A$9:$BN$9,1),FALSE),0)</f>
        <v>1331.3999999999999</v>
      </c>
    </row>
    <row r="21" spans="1:66" x14ac:dyDescent="0.35">
      <c r="B21" t="s">
        <v>14</v>
      </c>
      <c r="D21" s="51">
        <f>IFERROR(VLOOKUP($B21,'RA1- Elevated Dumps Upper'!$A$11:$BN$18,MATCH(Summary!D$1,'RA1- Elevated Dumps Upper'!$A$9:$BN$9,1),FALSE),0)+IFERROR(VLOOKUP($B21,'RA2-Elevated Dumps Slopes'!$A$11:$BN$18,MATCH(Summary!D$1,'RA2-Elevated Dumps Slopes'!$A$9:$BN$9,1),FALSE),0)+IFERROR(VLOOKUP($B21,'RA3-Backfilled Pits'!$A$11:$BN$18,MATCH(Summary!D$1,'RA3-Backfilled Pits'!$A$9:$BN$9,1),FALSE),0)+IFERROR(VLOOKUP($B21,'RA4-Tracks_Roads'!$A$11:$BN$18,MATCH(Summary!D$1,'RA4-Tracks_Roads'!$A$9:$BN$9,1),FALSE),0)+IFERROR(VLOOKUP($B21,'RA5-ROM'!$A$11:$BN$18,MATCH(Summary!D$1,'RA5-ROM'!$A$9:$BN$9,1),FALSE),0)+IFERROR(VLOOKUP($B21,'RA6-CHPP'!$A$11:$BN$18,MATCH(Summary!D$1,'RA6-CHPP'!$A$9:$BN$9,1),FALSE),0)+IFERROR(VLOOKUP($B21,'RA7-Mine Infrastructure Area'!$A$11:$BN$18,MATCH(Summary!D$1,'RA7-Mine Infrastructure Area'!$A$9:$BN$9,1),FALSE),0)+IFERROR(VLOOKUP($B21,'RA8-Water Management Structures'!$A$11:$BN$18,MATCH(Summary!D$1,'RA8-Water Management Structures'!$A$9:$BN$9,1),FALSE),0)+IFERROR(VLOOKUP($B21,'RA9-Codisposal Upper'!$A$11:$BN$18,MATCH(Summary!D$1,'RA9-Codisposal Upper'!$A$9:$BN$9,1),FALSE),0)+IFERROR(VLOOKUP($B21,'RA10-Codisposal Slopes'!$A$11:$BN$18,MATCH(Summary!D$1,'RA10-Codisposal Slopes'!$A$9:$BN$9,1),FALSE),0)+IFERROR(VLOOKUP($B21,'IA1-Final Void inc Ramps'!$A$11:$BN$18,MATCH(Summary!D$1,'IA1-Final Void inc Ramps'!$A$9:$BN$9,1),FALSE),0)</f>
        <v>0</v>
      </c>
      <c r="E21" s="51">
        <f>IFERROR(VLOOKUP($B21,'RA1- Elevated Dumps Upper'!$A$11:$BN$18,MATCH(Summary!E$1,'RA1- Elevated Dumps Upper'!$A$9:$BN$9,1),FALSE),0)+IFERROR(VLOOKUP($B21,'RA2-Elevated Dumps Slopes'!$A$11:$BN$18,MATCH(Summary!E$1,'RA2-Elevated Dumps Slopes'!$A$9:$BN$9,1),FALSE),0)+IFERROR(VLOOKUP($B21,'RA3-Backfilled Pits'!$A$11:$BN$18,MATCH(Summary!E$1,'RA3-Backfilled Pits'!$A$9:$BN$9,1),FALSE),0)+IFERROR(VLOOKUP($B21,'RA4-Tracks_Roads'!$A$11:$BN$18,MATCH(Summary!E$1,'RA4-Tracks_Roads'!$A$9:$BN$9,1),FALSE),0)+IFERROR(VLOOKUP($B21,'RA5-ROM'!$A$11:$BN$18,MATCH(Summary!E$1,'RA5-ROM'!$A$9:$BN$9,1),FALSE),0)+IFERROR(VLOOKUP($B21,'RA6-CHPP'!$A$11:$BN$18,MATCH(Summary!E$1,'RA6-CHPP'!$A$9:$BN$9,1),FALSE),0)+IFERROR(VLOOKUP($B21,'RA7-Mine Infrastructure Area'!$A$11:$BN$18,MATCH(Summary!E$1,'RA7-Mine Infrastructure Area'!$A$9:$BN$9,1),FALSE),0)+IFERROR(VLOOKUP($B21,'RA8-Water Management Structures'!$A$11:$BN$18,MATCH(Summary!E$1,'RA8-Water Management Structures'!$A$9:$BN$9,1),FALSE),0)+IFERROR(VLOOKUP($B21,'RA9-Codisposal Upper'!$A$11:$BN$18,MATCH(Summary!E$1,'RA9-Codisposal Upper'!$A$9:$BN$9,1),FALSE),0)+IFERROR(VLOOKUP($B21,'RA10-Codisposal Slopes'!$A$11:$BN$18,MATCH(Summary!E$1,'RA10-Codisposal Slopes'!$A$9:$BN$9,1),FALSE),0)+IFERROR(VLOOKUP($B21,'IA1-Final Void inc Ramps'!$A$11:$BN$18,MATCH(Summary!E$1,'IA1-Final Void inc Ramps'!$A$9:$BN$9,1),FALSE),0)</f>
        <v>0</v>
      </c>
      <c r="F21" s="51">
        <f>IFERROR(VLOOKUP($B21,'RA1- Elevated Dumps Upper'!$A$11:$BN$18,MATCH(Summary!F$1,'RA1- Elevated Dumps Upper'!$A$9:$BN$9,1),FALSE),0)+IFERROR(VLOOKUP($B21,'RA2-Elevated Dumps Slopes'!$A$11:$BN$18,MATCH(Summary!F$1,'RA2-Elevated Dumps Slopes'!$A$9:$BN$9,1),FALSE),0)+IFERROR(VLOOKUP($B21,'RA3-Backfilled Pits'!$A$11:$BN$18,MATCH(Summary!F$1,'RA3-Backfilled Pits'!$A$9:$BN$9,1),FALSE),0)+IFERROR(VLOOKUP($B21,'RA4-Tracks_Roads'!$A$11:$BN$18,MATCH(Summary!F$1,'RA4-Tracks_Roads'!$A$9:$BN$9,1),FALSE),0)+IFERROR(VLOOKUP($B21,'RA5-ROM'!$A$11:$BN$18,MATCH(Summary!F$1,'RA5-ROM'!$A$9:$BN$9,1),FALSE),0)+IFERROR(VLOOKUP($B21,'RA6-CHPP'!$A$11:$BN$18,MATCH(Summary!F$1,'RA6-CHPP'!$A$9:$BN$9,1),FALSE),0)+IFERROR(VLOOKUP($B21,'RA7-Mine Infrastructure Area'!$A$11:$BN$18,MATCH(Summary!F$1,'RA7-Mine Infrastructure Area'!$A$9:$BN$9,1),FALSE),0)+IFERROR(VLOOKUP($B21,'RA8-Water Management Structures'!$A$11:$BN$18,MATCH(Summary!F$1,'RA8-Water Management Structures'!$A$9:$BN$9,1),FALSE),0)+IFERROR(VLOOKUP($B21,'RA9-Codisposal Upper'!$A$11:$BN$18,MATCH(Summary!F$1,'RA9-Codisposal Upper'!$A$9:$BN$9,1),FALSE),0)+IFERROR(VLOOKUP($B21,'RA10-Codisposal Slopes'!$A$11:$BN$18,MATCH(Summary!F$1,'RA10-Codisposal Slopes'!$A$9:$BN$9,1),FALSE),0)+IFERROR(VLOOKUP($B21,'IA1-Final Void inc Ramps'!$A$11:$BN$18,MATCH(Summary!F$1,'IA1-Final Void inc Ramps'!$A$9:$BN$9,1),FALSE),0)</f>
        <v>0</v>
      </c>
      <c r="G21" s="51">
        <f>IFERROR(VLOOKUP($B21,'RA1- Elevated Dumps Upper'!$A$11:$BN$18,MATCH(Summary!G$1,'RA1- Elevated Dumps Upper'!$A$9:$BN$9,1),FALSE),0)+IFERROR(VLOOKUP($B21,'RA2-Elevated Dumps Slopes'!$A$11:$BN$18,MATCH(Summary!G$1,'RA2-Elevated Dumps Slopes'!$A$9:$BN$9,1),FALSE),0)+IFERROR(VLOOKUP($B21,'RA3-Backfilled Pits'!$A$11:$BN$18,MATCH(Summary!G$1,'RA3-Backfilled Pits'!$A$9:$BN$9,1),FALSE),0)+IFERROR(VLOOKUP($B21,'RA4-Tracks_Roads'!$A$11:$BN$18,MATCH(Summary!G$1,'RA4-Tracks_Roads'!$A$9:$BN$9,1),FALSE),0)+IFERROR(VLOOKUP($B21,'RA5-ROM'!$A$11:$BN$18,MATCH(Summary!G$1,'RA5-ROM'!$A$9:$BN$9,1),FALSE),0)+IFERROR(VLOOKUP($B21,'RA6-CHPP'!$A$11:$BN$18,MATCH(Summary!G$1,'RA6-CHPP'!$A$9:$BN$9,1),FALSE),0)+IFERROR(VLOOKUP($B21,'RA7-Mine Infrastructure Area'!$A$11:$BN$18,MATCH(Summary!G$1,'RA7-Mine Infrastructure Area'!$A$9:$BN$9,1),FALSE),0)+IFERROR(VLOOKUP($B21,'RA8-Water Management Structures'!$A$11:$BN$18,MATCH(Summary!G$1,'RA8-Water Management Structures'!$A$9:$BN$9,1),FALSE),0)+IFERROR(VLOOKUP($B21,'RA9-Codisposal Upper'!$A$11:$BN$18,MATCH(Summary!G$1,'RA9-Codisposal Upper'!$A$9:$BN$9,1),FALSE),0)+IFERROR(VLOOKUP($B21,'RA10-Codisposal Slopes'!$A$11:$BN$18,MATCH(Summary!G$1,'RA10-Codisposal Slopes'!$A$9:$BN$9,1),FALSE),0)+IFERROR(VLOOKUP($B21,'IA1-Final Void inc Ramps'!$A$11:$BN$18,MATCH(Summary!G$1,'IA1-Final Void inc Ramps'!$A$9:$BN$9,1),FALSE),0)</f>
        <v>0</v>
      </c>
      <c r="H21" s="51">
        <f>IFERROR(VLOOKUP($B21,'RA1- Elevated Dumps Upper'!$A$11:$BN$18,MATCH(Summary!H$1,'RA1- Elevated Dumps Upper'!$A$9:$BN$9,1),FALSE),0)+IFERROR(VLOOKUP($B21,'RA2-Elevated Dumps Slopes'!$A$11:$BN$18,MATCH(Summary!H$1,'RA2-Elevated Dumps Slopes'!$A$9:$BN$9,1),FALSE),0)+IFERROR(VLOOKUP($B21,'RA3-Backfilled Pits'!$A$11:$BN$18,MATCH(Summary!H$1,'RA3-Backfilled Pits'!$A$9:$BN$9,1),FALSE),0)+IFERROR(VLOOKUP($B21,'RA4-Tracks_Roads'!$A$11:$BN$18,MATCH(Summary!H$1,'RA4-Tracks_Roads'!$A$9:$BN$9,1),FALSE),0)+IFERROR(VLOOKUP($B21,'RA5-ROM'!$A$11:$BN$18,MATCH(Summary!H$1,'RA5-ROM'!$A$9:$BN$9,1),FALSE),0)+IFERROR(VLOOKUP($B21,'RA6-CHPP'!$A$11:$BN$18,MATCH(Summary!H$1,'RA6-CHPP'!$A$9:$BN$9,1),FALSE),0)+IFERROR(VLOOKUP($B21,'RA7-Mine Infrastructure Area'!$A$11:$BN$18,MATCH(Summary!H$1,'RA7-Mine Infrastructure Area'!$A$9:$BN$9,1),FALSE),0)+IFERROR(VLOOKUP($B21,'RA8-Water Management Structures'!$A$11:$BN$18,MATCH(Summary!H$1,'RA8-Water Management Structures'!$A$9:$BN$9,1),FALSE),0)+IFERROR(VLOOKUP($B21,'RA9-Codisposal Upper'!$A$11:$BN$18,MATCH(Summary!H$1,'RA9-Codisposal Upper'!$A$9:$BN$9,1),FALSE),0)+IFERROR(VLOOKUP($B21,'RA10-Codisposal Slopes'!$A$11:$BN$18,MATCH(Summary!H$1,'RA10-Codisposal Slopes'!$A$9:$BN$9,1),FALSE),0)+IFERROR(VLOOKUP($B21,'IA1-Final Void inc Ramps'!$A$11:$BN$18,MATCH(Summary!H$1,'IA1-Final Void inc Ramps'!$A$9:$BN$9,1),FALSE),0)</f>
        <v>0</v>
      </c>
      <c r="I21" s="51">
        <f>IFERROR(VLOOKUP($B21,'RA1- Elevated Dumps Upper'!$A$11:$BN$18,MATCH(Summary!I$1,'RA1- Elevated Dumps Upper'!$A$9:$BN$9,1),FALSE),0)+IFERROR(VLOOKUP($B21,'RA2-Elevated Dumps Slopes'!$A$11:$BN$18,MATCH(Summary!I$1,'RA2-Elevated Dumps Slopes'!$A$9:$BN$9,1),FALSE),0)+IFERROR(VLOOKUP($B21,'RA3-Backfilled Pits'!$A$11:$BN$18,MATCH(Summary!I$1,'RA3-Backfilled Pits'!$A$9:$BN$9,1),FALSE),0)+IFERROR(VLOOKUP($B21,'RA4-Tracks_Roads'!$A$11:$BN$18,MATCH(Summary!I$1,'RA4-Tracks_Roads'!$A$9:$BN$9,1),FALSE),0)+IFERROR(VLOOKUP($B21,'RA5-ROM'!$A$11:$BN$18,MATCH(Summary!I$1,'RA5-ROM'!$A$9:$BN$9,1),FALSE),0)+IFERROR(VLOOKUP($B21,'RA6-CHPP'!$A$11:$BN$18,MATCH(Summary!I$1,'RA6-CHPP'!$A$9:$BN$9,1),FALSE),0)+IFERROR(VLOOKUP($B21,'RA7-Mine Infrastructure Area'!$A$11:$BN$18,MATCH(Summary!I$1,'RA7-Mine Infrastructure Area'!$A$9:$BN$9,1),FALSE),0)+IFERROR(VLOOKUP($B21,'RA8-Water Management Structures'!$A$11:$BN$18,MATCH(Summary!I$1,'RA8-Water Management Structures'!$A$9:$BN$9,1),FALSE),0)+IFERROR(VLOOKUP($B21,'RA9-Codisposal Upper'!$A$11:$BN$18,MATCH(Summary!I$1,'RA9-Codisposal Upper'!$A$9:$BN$9,1),FALSE),0)+IFERROR(VLOOKUP($B21,'RA10-Codisposal Slopes'!$A$11:$BN$18,MATCH(Summary!I$1,'RA10-Codisposal Slopes'!$A$9:$BN$9,1),FALSE),0)+IFERROR(VLOOKUP($B21,'IA1-Final Void inc Ramps'!$A$11:$BN$18,MATCH(Summary!I$1,'IA1-Final Void inc Ramps'!$A$9:$BN$9,1),FALSE),0)</f>
        <v>0</v>
      </c>
      <c r="J21" s="51">
        <f>IFERROR(VLOOKUP($B21,'RA1- Elevated Dumps Upper'!$A$11:$BN$18,MATCH(Summary!J$1,'RA1- Elevated Dumps Upper'!$A$9:$BN$9,1),FALSE),0)+IFERROR(VLOOKUP($B21,'RA2-Elevated Dumps Slopes'!$A$11:$BN$18,MATCH(Summary!J$1,'RA2-Elevated Dumps Slopes'!$A$9:$BN$9,1),FALSE),0)+IFERROR(VLOOKUP($B21,'RA3-Backfilled Pits'!$A$11:$BN$18,MATCH(Summary!J$1,'RA3-Backfilled Pits'!$A$9:$BN$9,1),FALSE),0)+IFERROR(VLOOKUP($B21,'RA4-Tracks_Roads'!$A$11:$BN$18,MATCH(Summary!J$1,'RA4-Tracks_Roads'!$A$9:$BN$9,1),FALSE),0)+IFERROR(VLOOKUP($B21,'RA5-ROM'!$A$11:$BN$18,MATCH(Summary!J$1,'RA5-ROM'!$A$9:$BN$9,1),FALSE),0)+IFERROR(VLOOKUP($B21,'RA6-CHPP'!$A$11:$BN$18,MATCH(Summary!J$1,'RA6-CHPP'!$A$9:$BN$9,1),FALSE),0)+IFERROR(VLOOKUP($B21,'RA7-Mine Infrastructure Area'!$A$11:$BN$18,MATCH(Summary!J$1,'RA7-Mine Infrastructure Area'!$A$9:$BN$9,1),FALSE),0)+IFERROR(VLOOKUP($B21,'RA8-Water Management Structures'!$A$11:$BN$18,MATCH(Summary!J$1,'RA8-Water Management Structures'!$A$9:$BN$9,1),FALSE),0)+IFERROR(VLOOKUP($B21,'RA9-Codisposal Upper'!$A$11:$BN$18,MATCH(Summary!J$1,'RA9-Codisposal Upper'!$A$9:$BN$9,1),FALSE),0)+IFERROR(VLOOKUP($B21,'RA10-Codisposal Slopes'!$A$11:$BN$18,MATCH(Summary!J$1,'RA10-Codisposal Slopes'!$A$9:$BN$9,1),FALSE),0)+IFERROR(VLOOKUP($B21,'IA1-Final Void inc Ramps'!$A$11:$BN$18,MATCH(Summary!J$1,'IA1-Final Void inc Ramps'!$A$9:$BN$9,1),FALSE),0)</f>
        <v>0</v>
      </c>
      <c r="K21" s="51">
        <f>IFERROR(VLOOKUP($B21,'RA1- Elevated Dumps Upper'!$A$11:$BN$18,MATCH(Summary!K$1,'RA1- Elevated Dumps Upper'!$A$9:$BN$9,1),FALSE),0)+IFERROR(VLOOKUP($B21,'RA2-Elevated Dumps Slopes'!$A$11:$BN$18,MATCH(Summary!K$1,'RA2-Elevated Dumps Slopes'!$A$9:$BN$9,1),FALSE),0)+IFERROR(VLOOKUP($B21,'RA3-Backfilled Pits'!$A$11:$BN$18,MATCH(Summary!K$1,'RA3-Backfilled Pits'!$A$9:$BN$9,1),FALSE),0)+IFERROR(VLOOKUP($B21,'RA4-Tracks_Roads'!$A$11:$BN$18,MATCH(Summary!K$1,'RA4-Tracks_Roads'!$A$9:$BN$9,1),FALSE),0)+IFERROR(VLOOKUP($B21,'RA5-ROM'!$A$11:$BN$18,MATCH(Summary!K$1,'RA5-ROM'!$A$9:$BN$9,1),FALSE),0)+IFERROR(VLOOKUP($B21,'RA6-CHPP'!$A$11:$BN$18,MATCH(Summary!K$1,'RA6-CHPP'!$A$9:$BN$9,1),FALSE),0)+IFERROR(VLOOKUP($B21,'RA7-Mine Infrastructure Area'!$A$11:$BN$18,MATCH(Summary!K$1,'RA7-Mine Infrastructure Area'!$A$9:$BN$9,1),FALSE),0)+IFERROR(VLOOKUP($B21,'RA8-Water Management Structures'!$A$11:$BN$18,MATCH(Summary!K$1,'RA8-Water Management Structures'!$A$9:$BN$9,1),FALSE),0)+IFERROR(VLOOKUP($B21,'RA9-Codisposal Upper'!$A$11:$BN$18,MATCH(Summary!K$1,'RA9-Codisposal Upper'!$A$9:$BN$9,1),FALSE),0)+IFERROR(VLOOKUP($B21,'RA10-Codisposal Slopes'!$A$11:$BN$18,MATCH(Summary!K$1,'RA10-Codisposal Slopes'!$A$9:$BN$9,1),FALSE),0)+IFERROR(VLOOKUP($B21,'IA1-Final Void inc Ramps'!$A$11:$BN$18,MATCH(Summary!K$1,'IA1-Final Void inc Ramps'!$A$9:$BN$9,1),FALSE),0)</f>
        <v>0</v>
      </c>
      <c r="L21" s="51">
        <f>IFERROR(VLOOKUP($B21,'RA1- Elevated Dumps Upper'!$A$11:$BN$18,MATCH(Summary!L$1,'RA1- Elevated Dumps Upper'!$A$9:$BN$9,1),FALSE),0)+IFERROR(VLOOKUP($B21,'RA2-Elevated Dumps Slopes'!$A$11:$BN$18,MATCH(Summary!L$1,'RA2-Elevated Dumps Slopes'!$A$9:$BN$9,1),FALSE),0)+IFERROR(VLOOKUP($B21,'RA3-Backfilled Pits'!$A$11:$BN$18,MATCH(Summary!L$1,'RA3-Backfilled Pits'!$A$9:$BN$9,1),FALSE),0)+IFERROR(VLOOKUP($B21,'RA4-Tracks_Roads'!$A$11:$BN$18,MATCH(Summary!L$1,'RA4-Tracks_Roads'!$A$9:$BN$9,1),FALSE),0)+IFERROR(VLOOKUP($B21,'RA5-ROM'!$A$11:$BN$18,MATCH(Summary!L$1,'RA5-ROM'!$A$9:$BN$9,1),FALSE),0)+IFERROR(VLOOKUP($B21,'RA6-CHPP'!$A$11:$BN$18,MATCH(Summary!L$1,'RA6-CHPP'!$A$9:$BN$9,1),FALSE),0)+IFERROR(VLOOKUP($B21,'RA7-Mine Infrastructure Area'!$A$11:$BN$18,MATCH(Summary!L$1,'RA7-Mine Infrastructure Area'!$A$9:$BN$9,1),FALSE),0)+IFERROR(VLOOKUP($B21,'RA8-Water Management Structures'!$A$11:$BN$18,MATCH(Summary!L$1,'RA8-Water Management Structures'!$A$9:$BN$9,1),FALSE),0)+IFERROR(VLOOKUP($B21,'RA9-Codisposal Upper'!$A$11:$BN$18,MATCH(Summary!L$1,'RA9-Codisposal Upper'!$A$9:$BN$9,1),FALSE),0)+IFERROR(VLOOKUP($B21,'RA10-Codisposal Slopes'!$A$11:$BN$18,MATCH(Summary!L$1,'RA10-Codisposal Slopes'!$A$9:$BN$9,1),FALSE),0)+IFERROR(VLOOKUP($B21,'IA1-Final Void inc Ramps'!$A$11:$BN$18,MATCH(Summary!L$1,'IA1-Final Void inc Ramps'!$A$9:$BN$9,1),FALSE),0)</f>
        <v>0</v>
      </c>
      <c r="M21" s="51">
        <f>IFERROR(VLOOKUP($B21,'RA1- Elevated Dumps Upper'!$A$11:$BN$18,MATCH(Summary!M$1,'RA1- Elevated Dumps Upper'!$A$9:$BN$9,1),FALSE),0)+IFERROR(VLOOKUP($B21,'RA2-Elevated Dumps Slopes'!$A$11:$BN$18,MATCH(Summary!M$1,'RA2-Elevated Dumps Slopes'!$A$9:$BN$9,1),FALSE),0)+IFERROR(VLOOKUP($B21,'RA3-Backfilled Pits'!$A$11:$BN$18,MATCH(Summary!M$1,'RA3-Backfilled Pits'!$A$9:$BN$9,1),FALSE),0)+IFERROR(VLOOKUP($B21,'RA4-Tracks_Roads'!$A$11:$BN$18,MATCH(Summary!M$1,'RA4-Tracks_Roads'!$A$9:$BN$9,1),FALSE),0)+IFERROR(VLOOKUP($B21,'RA5-ROM'!$A$11:$BN$18,MATCH(Summary!M$1,'RA5-ROM'!$A$9:$BN$9,1),FALSE),0)+IFERROR(VLOOKUP($B21,'RA6-CHPP'!$A$11:$BN$18,MATCH(Summary!M$1,'RA6-CHPP'!$A$9:$BN$9,1),FALSE),0)+IFERROR(VLOOKUP($B21,'RA7-Mine Infrastructure Area'!$A$11:$BN$18,MATCH(Summary!M$1,'RA7-Mine Infrastructure Area'!$A$9:$BN$9,1),FALSE),0)+IFERROR(VLOOKUP($B21,'RA8-Water Management Structures'!$A$11:$BN$18,MATCH(Summary!M$1,'RA8-Water Management Structures'!$A$9:$BN$9,1),FALSE),0)+IFERROR(VLOOKUP($B21,'RA9-Codisposal Upper'!$A$11:$BN$18,MATCH(Summary!M$1,'RA9-Codisposal Upper'!$A$9:$BN$9,1),FALSE),0)+IFERROR(VLOOKUP($B21,'RA10-Codisposal Slopes'!$A$11:$BN$18,MATCH(Summary!M$1,'RA10-Codisposal Slopes'!$A$9:$BN$9,1),FALSE),0)+IFERROR(VLOOKUP($B21,'IA1-Final Void inc Ramps'!$A$11:$BN$18,MATCH(Summary!M$1,'IA1-Final Void inc Ramps'!$A$9:$BN$9,1),FALSE),0)</f>
        <v>0</v>
      </c>
      <c r="N21" s="51">
        <f>IFERROR(VLOOKUP($B21,'RA1- Elevated Dumps Upper'!$A$11:$BN$18,MATCH(Summary!N$1,'RA1- Elevated Dumps Upper'!$A$9:$BN$9,1),FALSE),0)+IFERROR(VLOOKUP($B21,'RA2-Elevated Dumps Slopes'!$A$11:$BN$18,MATCH(Summary!N$1,'RA2-Elevated Dumps Slopes'!$A$9:$BN$9,1),FALSE),0)+IFERROR(VLOOKUP($B21,'RA3-Backfilled Pits'!$A$11:$BN$18,MATCH(Summary!N$1,'RA3-Backfilled Pits'!$A$9:$BN$9,1),FALSE),0)+IFERROR(VLOOKUP($B21,'RA4-Tracks_Roads'!$A$11:$BN$18,MATCH(Summary!N$1,'RA4-Tracks_Roads'!$A$9:$BN$9,1),FALSE),0)+IFERROR(VLOOKUP($B21,'RA5-ROM'!$A$11:$BN$18,MATCH(Summary!N$1,'RA5-ROM'!$A$9:$BN$9,1),FALSE),0)+IFERROR(VLOOKUP($B21,'RA6-CHPP'!$A$11:$BN$18,MATCH(Summary!N$1,'RA6-CHPP'!$A$9:$BN$9,1),FALSE),0)+IFERROR(VLOOKUP($B21,'RA7-Mine Infrastructure Area'!$A$11:$BN$18,MATCH(Summary!N$1,'RA7-Mine Infrastructure Area'!$A$9:$BN$9,1),FALSE),0)+IFERROR(VLOOKUP($B21,'RA8-Water Management Structures'!$A$11:$BN$18,MATCH(Summary!N$1,'RA8-Water Management Structures'!$A$9:$BN$9,1),FALSE),0)+IFERROR(VLOOKUP($B21,'RA9-Codisposal Upper'!$A$11:$BN$18,MATCH(Summary!N$1,'RA9-Codisposal Upper'!$A$9:$BN$9,1),FALSE),0)+IFERROR(VLOOKUP($B21,'RA10-Codisposal Slopes'!$A$11:$BN$18,MATCH(Summary!N$1,'RA10-Codisposal Slopes'!$A$9:$BN$9,1),FALSE),0)+IFERROR(VLOOKUP($B21,'IA1-Final Void inc Ramps'!$A$11:$BN$18,MATCH(Summary!N$1,'IA1-Final Void inc Ramps'!$A$9:$BN$9,1),FALSE),0)</f>
        <v>0</v>
      </c>
      <c r="O21" s="51">
        <f>IFERROR(VLOOKUP($B21,'RA1- Elevated Dumps Upper'!$A$11:$BN$18,MATCH(Summary!O$1,'RA1- Elevated Dumps Upper'!$A$9:$BN$9,1),FALSE),0)+IFERROR(VLOOKUP($B21,'RA2-Elevated Dumps Slopes'!$A$11:$BN$18,MATCH(Summary!O$1,'RA2-Elevated Dumps Slopes'!$A$9:$BN$9,1),FALSE),0)+IFERROR(VLOOKUP($B21,'RA3-Backfilled Pits'!$A$11:$BN$18,MATCH(Summary!O$1,'RA3-Backfilled Pits'!$A$9:$BN$9,1),FALSE),0)+IFERROR(VLOOKUP($B21,'RA4-Tracks_Roads'!$A$11:$BN$18,MATCH(Summary!O$1,'RA4-Tracks_Roads'!$A$9:$BN$9,1),FALSE),0)+IFERROR(VLOOKUP($B21,'RA5-ROM'!$A$11:$BN$18,MATCH(Summary!O$1,'RA5-ROM'!$A$9:$BN$9,1),FALSE),0)+IFERROR(VLOOKUP($B21,'RA6-CHPP'!$A$11:$BN$18,MATCH(Summary!O$1,'RA6-CHPP'!$A$9:$BN$9,1),FALSE),0)+IFERROR(VLOOKUP($B21,'RA7-Mine Infrastructure Area'!$A$11:$BN$18,MATCH(Summary!O$1,'RA7-Mine Infrastructure Area'!$A$9:$BN$9,1),FALSE),0)+IFERROR(VLOOKUP($B21,'RA8-Water Management Structures'!$A$11:$BN$18,MATCH(Summary!O$1,'RA8-Water Management Structures'!$A$9:$BN$9,1),FALSE),0)+IFERROR(VLOOKUP($B21,'RA9-Codisposal Upper'!$A$11:$BN$18,MATCH(Summary!O$1,'RA9-Codisposal Upper'!$A$9:$BN$9,1),FALSE),0)+IFERROR(VLOOKUP($B21,'RA10-Codisposal Slopes'!$A$11:$BN$18,MATCH(Summary!O$1,'RA10-Codisposal Slopes'!$A$9:$BN$9,1),FALSE),0)+IFERROR(VLOOKUP($B21,'IA1-Final Void inc Ramps'!$A$11:$BN$18,MATCH(Summary!O$1,'IA1-Final Void inc Ramps'!$A$9:$BN$9,1),FALSE),0)</f>
        <v>0</v>
      </c>
      <c r="P21" s="51">
        <f>IFERROR(VLOOKUP($B21,'RA1- Elevated Dumps Upper'!$A$11:$BN$18,MATCH(Summary!P$1,'RA1- Elevated Dumps Upper'!$A$9:$BN$9,1),FALSE),0)+IFERROR(VLOOKUP($B21,'RA2-Elevated Dumps Slopes'!$A$11:$BN$18,MATCH(Summary!P$1,'RA2-Elevated Dumps Slopes'!$A$9:$BN$9,1),FALSE),0)+IFERROR(VLOOKUP($B21,'RA3-Backfilled Pits'!$A$11:$BN$18,MATCH(Summary!P$1,'RA3-Backfilled Pits'!$A$9:$BN$9,1),FALSE),0)+IFERROR(VLOOKUP($B21,'RA4-Tracks_Roads'!$A$11:$BN$18,MATCH(Summary!P$1,'RA4-Tracks_Roads'!$A$9:$BN$9,1),FALSE),0)+IFERROR(VLOOKUP($B21,'RA5-ROM'!$A$11:$BN$18,MATCH(Summary!P$1,'RA5-ROM'!$A$9:$BN$9,1),FALSE),0)+IFERROR(VLOOKUP($B21,'RA6-CHPP'!$A$11:$BN$18,MATCH(Summary!P$1,'RA6-CHPP'!$A$9:$BN$9,1),FALSE),0)+IFERROR(VLOOKUP($B21,'RA7-Mine Infrastructure Area'!$A$11:$BN$18,MATCH(Summary!P$1,'RA7-Mine Infrastructure Area'!$A$9:$BN$9,1),FALSE),0)+IFERROR(VLOOKUP($B21,'RA8-Water Management Structures'!$A$11:$BN$18,MATCH(Summary!P$1,'RA8-Water Management Structures'!$A$9:$BN$9,1),FALSE),0)+IFERROR(VLOOKUP($B21,'RA9-Codisposal Upper'!$A$11:$BN$18,MATCH(Summary!P$1,'RA9-Codisposal Upper'!$A$9:$BN$9,1),FALSE),0)+IFERROR(VLOOKUP($B21,'RA10-Codisposal Slopes'!$A$11:$BN$18,MATCH(Summary!P$1,'RA10-Codisposal Slopes'!$A$9:$BN$9,1),FALSE),0)+IFERROR(VLOOKUP($B21,'IA1-Final Void inc Ramps'!$A$11:$BN$18,MATCH(Summary!P$1,'IA1-Final Void inc Ramps'!$A$9:$BN$9,1),FALSE),0)</f>
        <v>0</v>
      </c>
      <c r="Q21" s="51">
        <f>IFERROR(VLOOKUP($B21,'RA1- Elevated Dumps Upper'!$A$11:$BN$18,MATCH(Summary!Q$1,'RA1- Elevated Dumps Upper'!$A$9:$BN$9,1),FALSE),0)+IFERROR(VLOOKUP($B21,'RA2-Elevated Dumps Slopes'!$A$11:$BN$18,MATCH(Summary!Q$1,'RA2-Elevated Dumps Slopes'!$A$9:$BN$9,1),FALSE),0)+IFERROR(VLOOKUP($B21,'RA3-Backfilled Pits'!$A$11:$BN$18,MATCH(Summary!Q$1,'RA3-Backfilled Pits'!$A$9:$BN$9,1),FALSE),0)+IFERROR(VLOOKUP($B21,'RA4-Tracks_Roads'!$A$11:$BN$18,MATCH(Summary!Q$1,'RA4-Tracks_Roads'!$A$9:$BN$9,1),FALSE),0)+IFERROR(VLOOKUP($B21,'RA5-ROM'!$A$11:$BN$18,MATCH(Summary!Q$1,'RA5-ROM'!$A$9:$BN$9,1),FALSE),0)+IFERROR(VLOOKUP($B21,'RA6-CHPP'!$A$11:$BN$18,MATCH(Summary!Q$1,'RA6-CHPP'!$A$9:$BN$9,1),FALSE),0)+IFERROR(VLOOKUP($B21,'RA7-Mine Infrastructure Area'!$A$11:$BN$18,MATCH(Summary!Q$1,'RA7-Mine Infrastructure Area'!$A$9:$BN$9,1),FALSE),0)+IFERROR(VLOOKUP($B21,'RA8-Water Management Structures'!$A$11:$BN$18,MATCH(Summary!Q$1,'RA8-Water Management Structures'!$A$9:$BN$9,1),FALSE),0)+IFERROR(VLOOKUP($B21,'RA9-Codisposal Upper'!$A$11:$BN$18,MATCH(Summary!Q$1,'RA9-Codisposal Upper'!$A$9:$BN$9,1),FALSE),0)+IFERROR(VLOOKUP($B21,'RA10-Codisposal Slopes'!$A$11:$BN$18,MATCH(Summary!Q$1,'RA10-Codisposal Slopes'!$A$9:$BN$9,1),FALSE),0)+IFERROR(VLOOKUP($B21,'IA1-Final Void inc Ramps'!$A$11:$BN$18,MATCH(Summary!Q$1,'IA1-Final Void inc Ramps'!$A$9:$BN$9,1),FALSE),0)</f>
        <v>0</v>
      </c>
      <c r="R21" s="51">
        <f>IFERROR(VLOOKUP($B21,'RA1- Elevated Dumps Upper'!$A$11:$BN$18,MATCH(Summary!R$1,'RA1- Elevated Dumps Upper'!$A$9:$BN$9,1),FALSE),0)+IFERROR(VLOOKUP($B21,'RA2-Elevated Dumps Slopes'!$A$11:$BN$18,MATCH(Summary!R$1,'RA2-Elevated Dumps Slopes'!$A$9:$BN$9,1),FALSE),0)+IFERROR(VLOOKUP($B21,'RA3-Backfilled Pits'!$A$11:$BN$18,MATCH(Summary!R$1,'RA3-Backfilled Pits'!$A$9:$BN$9,1),FALSE),0)+IFERROR(VLOOKUP($B21,'RA4-Tracks_Roads'!$A$11:$BN$18,MATCH(Summary!R$1,'RA4-Tracks_Roads'!$A$9:$BN$9,1),FALSE),0)+IFERROR(VLOOKUP($B21,'RA5-ROM'!$A$11:$BN$18,MATCH(Summary!R$1,'RA5-ROM'!$A$9:$BN$9,1),FALSE),0)+IFERROR(VLOOKUP($B21,'RA6-CHPP'!$A$11:$BN$18,MATCH(Summary!R$1,'RA6-CHPP'!$A$9:$BN$9,1),FALSE),0)+IFERROR(VLOOKUP($B21,'RA7-Mine Infrastructure Area'!$A$11:$BN$18,MATCH(Summary!R$1,'RA7-Mine Infrastructure Area'!$A$9:$BN$9,1),FALSE),0)+IFERROR(VLOOKUP($B21,'RA8-Water Management Structures'!$A$11:$BN$18,MATCH(Summary!R$1,'RA8-Water Management Structures'!$A$9:$BN$9,1),FALSE),0)+IFERROR(VLOOKUP($B21,'RA9-Codisposal Upper'!$A$11:$BN$18,MATCH(Summary!R$1,'RA9-Codisposal Upper'!$A$9:$BN$9,1),FALSE),0)+IFERROR(VLOOKUP($B21,'RA10-Codisposal Slopes'!$A$11:$BN$18,MATCH(Summary!R$1,'RA10-Codisposal Slopes'!$A$9:$BN$9,1),FALSE),0)+IFERROR(VLOOKUP($B21,'IA1-Final Void inc Ramps'!$A$11:$BN$18,MATCH(Summary!R$1,'IA1-Final Void inc Ramps'!$A$9:$BN$9,1),FALSE),0)</f>
        <v>0</v>
      </c>
      <c r="S21" s="51">
        <f>IFERROR(VLOOKUP($B21,'RA1- Elevated Dumps Upper'!$A$11:$BN$18,MATCH(Summary!S$1,'RA1- Elevated Dumps Upper'!$A$9:$BN$9,1),FALSE),0)+IFERROR(VLOOKUP($B21,'RA2-Elevated Dumps Slopes'!$A$11:$BN$18,MATCH(Summary!S$1,'RA2-Elevated Dumps Slopes'!$A$9:$BN$9,1),FALSE),0)+IFERROR(VLOOKUP($B21,'RA3-Backfilled Pits'!$A$11:$BN$18,MATCH(Summary!S$1,'RA3-Backfilled Pits'!$A$9:$BN$9,1),FALSE),0)+IFERROR(VLOOKUP($B21,'RA4-Tracks_Roads'!$A$11:$BN$18,MATCH(Summary!S$1,'RA4-Tracks_Roads'!$A$9:$BN$9,1),FALSE),0)+IFERROR(VLOOKUP($B21,'RA5-ROM'!$A$11:$BN$18,MATCH(Summary!S$1,'RA5-ROM'!$A$9:$BN$9,1),FALSE),0)+IFERROR(VLOOKUP($B21,'RA6-CHPP'!$A$11:$BN$18,MATCH(Summary!S$1,'RA6-CHPP'!$A$9:$BN$9,1),FALSE),0)+IFERROR(VLOOKUP($B21,'RA7-Mine Infrastructure Area'!$A$11:$BN$18,MATCH(Summary!S$1,'RA7-Mine Infrastructure Area'!$A$9:$BN$9,1),FALSE),0)+IFERROR(VLOOKUP($B21,'RA8-Water Management Structures'!$A$11:$BN$18,MATCH(Summary!S$1,'RA8-Water Management Structures'!$A$9:$BN$9,1),FALSE),0)+IFERROR(VLOOKUP($B21,'RA9-Codisposal Upper'!$A$11:$BN$18,MATCH(Summary!S$1,'RA9-Codisposal Upper'!$A$9:$BN$9,1),FALSE),0)+IFERROR(VLOOKUP($B21,'RA10-Codisposal Slopes'!$A$11:$BN$18,MATCH(Summary!S$1,'RA10-Codisposal Slopes'!$A$9:$BN$9,1),FALSE),0)+IFERROR(VLOOKUP($B21,'IA1-Final Void inc Ramps'!$A$11:$BN$18,MATCH(Summary!S$1,'IA1-Final Void inc Ramps'!$A$9:$BN$9,1),FALSE),0)</f>
        <v>0</v>
      </c>
      <c r="T21" s="51">
        <f>IFERROR(VLOOKUP($B21,'RA1- Elevated Dumps Upper'!$A$11:$BN$18,MATCH(Summary!T$1,'RA1- Elevated Dumps Upper'!$A$9:$BN$9,1),FALSE),0)+IFERROR(VLOOKUP($B21,'RA2-Elevated Dumps Slopes'!$A$11:$BN$18,MATCH(Summary!T$1,'RA2-Elevated Dumps Slopes'!$A$9:$BN$9,1),FALSE),0)+IFERROR(VLOOKUP($B21,'RA3-Backfilled Pits'!$A$11:$BN$18,MATCH(Summary!T$1,'RA3-Backfilled Pits'!$A$9:$BN$9,1),FALSE),0)+IFERROR(VLOOKUP($B21,'RA4-Tracks_Roads'!$A$11:$BN$18,MATCH(Summary!T$1,'RA4-Tracks_Roads'!$A$9:$BN$9,1),FALSE),0)+IFERROR(VLOOKUP($B21,'RA5-ROM'!$A$11:$BN$18,MATCH(Summary!T$1,'RA5-ROM'!$A$9:$BN$9,1),FALSE),0)+IFERROR(VLOOKUP($B21,'RA6-CHPP'!$A$11:$BN$18,MATCH(Summary!T$1,'RA6-CHPP'!$A$9:$BN$9,1),FALSE),0)+IFERROR(VLOOKUP($B21,'RA7-Mine Infrastructure Area'!$A$11:$BN$18,MATCH(Summary!T$1,'RA7-Mine Infrastructure Area'!$A$9:$BN$9,1),FALSE),0)+IFERROR(VLOOKUP($B21,'RA8-Water Management Structures'!$A$11:$BN$18,MATCH(Summary!T$1,'RA8-Water Management Structures'!$A$9:$BN$9,1),FALSE),0)+IFERROR(VLOOKUP($B21,'RA9-Codisposal Upper'!$A$11:$BN$18,MATCH(Summary!T$1,'RA9-Codisposal Upper'!$A$9:$BN$9,1),FALSE),0)+IFERROR(VLOOKUP($B21,'RA10-Codisposal Slopes'!$A$11:$BN$18,MATCH(Summary!T$1,'RA10-Codisposal Slopes'!$A$9:$BN$9,1),FALSE),0)+IFERROR(VLOOKUP($B21,'IA1-Final Void inc Ramps'!$A$11:$BN$18,MATCH(Summary!T$1,'IA1-Final Void inc Ramps'!$A$9:$BN$9,1),FALSE),0)</f>
        <v>0</v>
      </c>
      <c r="U21" s="51">
        <f>IFERROR(VLOOKUP($B21,'RA1- Elevated Dumps Upper'!$A$11:$BN$18,MATCH(Summary!U$1,'RA1- Elevated Dumps Upper'!$A$9:$BN$9,1),FALSE),0)+IFERROR(VLOOKUP($B21,'RA2-Elevated Dumps Slopes'!$A$11:$BN$18,MATCH(Summary!U$1,'RA2-Elevated Dumps Slopes'!$A$9:$BN$9,1),FALSE),0)+IFERROR(VLOOKUP($B21,'RA3-Backfilled Pits'!$A$11:$BN$18,MATCH(Summary!U$1,'RA3-Backfilled Pits'!$A$9:$BN$9,1),FALSE),0)+IFERROR(VLOOKUP($B21,'RA4-Tracks_Roads'!$A$11:$BN$18,MATCH(Summary!U$1,'RA4-Tracks_Roads'!$A$9:$BN$9,1),FALSE),0)+IFERROR(VLOOKUP($B21,'RA5-ROM'!$A$11:$BN$18,MATCH(Summary!U$1,'RA5-ROM'!$A$9:$BN$9,1),FALSE),0)+IFERROR(VLOOKUP($B21,'RA6-CHPP'!$A$11:$BN$18,MATCH(Summary!U$1,'RA6-CHPP'!$A$9:$BN$9,1),FALSE),0)+IFERROR(VLOOKUP($B21,'RA7-Mine Infrastructure Area'!$A$11:$BN$18,MATCH(Summary!U$1,'RA7-Mine Infrastructure Area'!$A$9:$BN$9,1),FALSE),0)+IFERROR(VLOOKUP($B21,'RA8-Water Management Structures'!$A$11:$BN$18,MATCH(Summary!U$1,'RA8-Water Management Structures'!$A$9:$BN$9,1),FALSE),0)+IFERROR(VLOOKUP($B21,'RA9-Codisposal Upper'!$A$11:$BN$18,MATCH(Summary!U$1,'RA9-Codisposal Upper'!$A$9:$BN$9,1),FALSE),0)+IFERROR(VLOOKUP($B21,'RA10-Codisposal Slopes'!$A$11:$BN$18,MATCH(Summary!U$1,'RA10-Codisposal Slopes'!$A$9:$BN$9,1),FALSE),0)+IFERROR(VLOOKUP($B21,'IA1-Final Void inc Ramps'!$A$11:$BN$18,MATCH(Summary!U$1,'IA1-Final Void inc Ramps'!$A$9:$BN$9,1),FALSE),0)</f>
        <v>0</v>
      </c>
      <c r="V21" s="51">
        <f>IFERROR(VLOOKUP($B21,'RA1- Elevated Dumps Upper'!$A$11:$BN$18,MATCH(Summary!V$1,'RA1- Elevated Dumps Upper'!$A$9:$BN$9,1),FALSE),0)+IFERROR(VLOOKUP($B21,'RA2-Elevated Dumps Slopes'!$A$11:$BN$18,MATCH(Summary!V$1,'RA2-Elevated Dumps Slopes'!$A$9:$BN$9,1),FALSE),0)+IFERROR(VLOOKUP($B21,'RA3-Backfilled Pits'!$A$11:$BN$18,MATCH(Summary!V$1,'RA3-Backfilled Pits'!$A$9:$BN$9,1),FALSE),0)+IFERROR(VLOOKUP($B21,'RA4-Tracks_Roads'!$A$11:$BN$18,MATCH(Summary!V$1,'RA4-Tracks_Roads'!$A$9:$BN$9,1),FALSE),0)+IFERROR(VLOOKUP($B21,'RA5-ROM'!$A$11:$BN$18,MATCH(Summary!V$1,'RA5-ROM'!$A$9:$BN$9,1),FALSE),0)+IFERROR(VLOOKUP($B21,'RA6-CHPP'!$A$11:$BN$18,MATCH(Summary!V$1,'RA6-CHPP'!$A$9:$BN$9,1),FALSE),0)+IFERROR(VLOOKUP($B21,'RA7-Mine Infrastructure Area'!$A$11:$BN$18,MATCH(Summary!V$1,'RA7-Mine Infrastructure Area'!$A$9:$BN$9,1),FALSE),0)+IFERROR(VLOOKUP($B21,'RA8-Water Management Structures'!$A$11:$BN$18,MATCH(Summary!V$1,'RA8-Water Management Structures'!$A$9:$BN$9,1),FALSE),0)+IFERROR(VLOOKUP($B21,'RA9-Codisposal Upper'!$A$11:$BN$18,MATCH(Summary!V$1,'RA9-Codisposal Upper'!$A$9:$BN$9,1),FALSE),0)+IFERROR(VLOOKUP($B21,'RA10-Codisposal Slopes'!$A$11:$BN$18,MATCH(Summary!V$1,'RA10-Codisposal Slopes'!$A$9:$BN$9,1),FALSE),0)+IFERROR(VLOOKUP($B21,'IA1-Final Void inc Ramps'!$A$11:$BN$18,MATCH(Summary!V$1,'IA1-Final Void inc Ramps'!$A$9:$BN$9,1),FALSE),0)</f>
        <v>0</v>
      </c>
      <c r="W21" s="51">
        <f>IFERROR(VLOOKUP($B21,'RA1- Elevated Dumps Upper'!$A$11:$BN$18,MATCH(Summary!W$1,'RA1- Elevated Dumps Upper'!$A$9:$BN$9,1),FALSE),0)+IFERROR(VLOOKUP($B21,'RA2-Elevated Dumps Slopes'!$A$11:$BN$18,MATCH(Summary!W$1,'RA2-Elevated Dumps Slopes'!$A$9:$BN$9,1),FALSE),0)+IFERROR(VLOOKUP($B21,'RA3-Backfilled Pits'!$A$11:$BN$18,MATCH(Summary!W$1,'RA3-Backfilled Pits'!$A$9:$BN$9,1),FALSE),0)+IFERROR(VLOOKUP($B21,'RA4-Tracks_Roads'!$A$11:$BN$18,MATCH(Summary!W$1,'RA4-Tracks_Roads'!$A$9:$BN$9,1),FALSE),0)+IFERROR(VLOOKUP($B21,'RA5-ROM'!$A$11:$BN$18,MATCH(Summary!W$1,'RA5-ROM'!$A$9:$BN$9,1),FALSE),0)+IFERROR(VLOOKUP($B21,'RA6-CHPP'!$A$11:$BN$18,MATCH(Summary!W$1,'RA6-CHPP'!$A$9:$BN$9,1),FALSE),0)+IFERROR(VLOOKUP($B21,'RA7-Mine Infrastructure Area'!$A$11:$BN$18,MATCH(Summary!W$1,'RA7-Mine Infrastructure Area'!$A$9:$BN$9,1),FALSE),0)+IFERROR(VLOOKUP($B21,'RA8-Water Management Structures'!$A$11:$BN$18,MATCH(Summary!W$1,'RA8-Water Management Structures'!$A$9:$BN$9,1),FALSE),0)+IFERROR(VLOOKUP($B21,'RA9-Codisposal Upper'!$A$11:$BN$18,MATCH(Summary!W$1,'RA9-Codisposal Upper'!$A$9:$BN$9,1),FALSE),0)+IFERROR(VLOOKUP($B21,'RA10-Codisposal Slopes'!$A$11:$BN$18,MATCH(Summary!W$1,'RA10-Codisposal Slopes'!$A$9:$BN$9,1),FALSE),0)+IFERROR(VLOOKUP($B21,'IA1-Final Void inc Ramps'!$A$11:$BN$18,MATCH(Summary!W$1,'IA1-Final Void inc Ramps'!$A$9:$BN$9,1),FALSE),0)</f>
        <v>0</v>
      </c>
      <c r="X21" s="51">
        <f>IFERROR(VLOOKUP($B21,'RA1- Elevated Dumps Upper'!$A$11:$BN$18,MATCH(Summary!X$1,'RA1- Elevated Dumps Upper'!$A$9:$BN$9,1),FALSE),0)+IFERROR(VLOOKUP($B21,'RA2-Elevated Dumps Slopes'!$A$11:$BN$18,MATCH(Summary!X$1,'RA2-Elevated Dumps Slopes'!$A$9:$BN$9,1),FALSE),0)+IFERROR(VLOOKUP($B21,'RA3-Backfilled Pits'!$A$11:$BN$18,MATCH(Summary!X$1,'RA3-Backfilled Pits'!$A$9:$BN$9,1),FALSE),0)+IFERROR(VLOOKUP($B21,'RA4-Tracks_Roads'!$A$11:$BN$18,MATCH(Summary!X$1,'RA4-Tracks_Roads'!$A$9:$BN$9,1),FALSE),0)+IFERROR(VLOOKUP($B21,'RA5-ROM'!$A$11:$BN$18,MATCH(Summary!X$1,'RA5-ROM'!$A$9:$BN$9,1),FALSE),0)+IFERROR(VLOOKUP($B21,'RA6-CHPP'!$A$11:$BN$18,MATCH(Summary!X$1,'RA6-CHPP'!$A$9:$BN$9,1),FALSE),0)+IFERROR(VLOOKUP($B21,'RA7-Mine Infrastructure Area'!$A$11:$BN$18,MATCH(Summary!X$1,'RA7-Mine Infrastructure Area'!$A$9:$BN$9,1),FALSE),0)+IFERROR(VLOOKUP($B21,'RA8-Water Management Structures'!$A$11:$BN$18,MATCH(Summary!X$1,'RA8-Water Management Structures'!$A$9:$BN$9,1),FALSE),0)+IFERROR(VLOOKUP($B21,'RA9-Codisposal Upper'!$A$11:$BN$18,MATCH(Summary!X$1,'RA9-Codisposal Upper'!$A$9:$BN$9,1),FALSE),0)+IFERROR(VLOOKUP($B21,'RA10-Codisposal Slopes'!$A$11:$BN$18,MATCH(Summary!X$1,'RA10-Codisposal Slopes'!$A$9:$BN$9,1),FALSE),0)+IFERROR(VLOOKUP($B21,'IA1-Final Void inc Ramps'!$A$11:$BN$18,MATCH(Summary!X$1,'IA1-Final Void inc Ramps'!$A$9:$BN$9,1),FALSE),0)</f>
        <v>0</v>
      </c>
      <c r="Y21" s="51">
        <f>IFERROR(VLOOKUP($B21,'RA1- Elevated Dumps Upper'!$A$11:$BN$18,MATCH(Summary!Y$1,'RA1- Elevated Dumps Upper'!$A$9:$BN$9,1),FALSE),0)+IFERROR(VLOOKUP($B21,'RA2-Elevated Dumps Slopes'!$A$11:$BN$18,MATCH(Summary!Y$1,'RA2-Elevated Dumps Slopes'!$A$9:$BN$9,1),FALSE),0)+IFERROR(VLOOKUP($B21,'RA3-Backfilled Pits'!$A$11:$BN$18,MATCH(Summary!Y$1,'RA3-Backfilled Pits'!$A$9:$BN$9,1),FALSE),0)+IFERROR(VLOOKUP($B21,'RA4-Tracks_Roads'!$A$11:$BN$18,MATCH(Summary!Y$1,'RA4-Tracks_Roads'!$A$9:$BN$9,1),FALSE),0)+IFERROR(VLOOKUP($B21,'RA5-ROM'!$A$11:$BN$18,MATCH(Summary!Y$1,'RA5-ROM'!$A$9:$BN$9,1),FALSE),0)+IFERROR(VLOOKUP($B21,'RA6-CHPP'!$A$11:$BN$18,MATCH(Summary!Y$1,'RA6-CHPP'!$A$9:$BN$9,1),FALSE),0)+IFERROR(VLOOKUP($B21,'RA7-Mine Infrastructure Area'!$A$11:$BN$18,MATCH(Summary!Y$1,'RA7-Mine Infrastructure Area'!$A$9:$BN$9,1),FALSE),0)+IFERROR(VLOOKUP($B21,'RA8-Water Management Structures'!$A$11:$BN$18,MATCH(Summary!Y$1,'RA8-Water Management Structures'!$A$9:$BN$9,1),FALSE),0)+IFERROR(VLOOKUP($B21,'RA9-Codisposal Upper'!$A$11:$BN$18,MATCH(Summary!Y$1,'RA9-Codisposal Upper'!$A$9:$BN$9,1),FALSE),0)+IFERROR(VLOOKUP($B21,'RA10-Codisposal Slopes'!$A$11:$BN$18,MATCH(Summary!Y$1,'RA10-Codisposal Slopes'!$A$9:$BN$9,1),FALSE),0)+IFERROR(VLOOKUP($B21,'IA1-Final Void inc Ramps'!$A$11:$BN$18,MATCH(Summary!Y$1,'IA1-Final Void inc Ramps'!$A$9:$BN$9,1),FALSE),0)</f>
        <v>0</v>
      </c>
      <c r="Z21" s="51">
        <f>IFERROR(VLOOKUP($B21,'RA1- Elevated Dumps Upper'!$A$11:$BN$18,MATCH(Summary!Z$1,'RA1- Elevated Dumps Upper'!$A$9:$BN$9,1),FALSE),0)+IFERROR(VLOOKUP($B21,'RA2-Elevated Dumps Slopes'!$A$11:$BN$18,MATCH(Summary!Z$1,'RA2-Elevated Dumps Slopes'!$A$9:$BN$9,1),FALSE),0)+IFERROR(VLOOKUP($B21,'RA3-Backfilled Pits'!$A$11:$BN$18,MATCH(Summary!Z$1,'RA3-Backfilled Pits'!$A$9:$BN$9,1),FALSE),0)+IFERROR(VLOOKUP($B21,'RA4-Tracks_Roads'!$A$11:$BN$18,MATCH(Summary!Z$1,'RA4-Tracks_Roads'!$A$9:$BN$9,1),FALSE),0)+IFERROR(VLOOKUP($B21,'RA5-ROM'!$A$11:$BN$18,MATCH(Summary!Z$1,'RA5-ROM'!$A$9:$BN$9,1),FALSE),0)+IFERROR(VLOOKUP($B21,'RA6-CHPP'!$A$11:$BN$18,MATCH(Summary!Z$1,'RA6-CHPP'!$A$9:$BN$9,1),FALSE),0)+IFERROR(VLOOKUP($B21,'RA7-Mine Infrastructure Area'!$A$11:$BN$18,MATCH(Summary!Z$1,'RA7-Mine Infrastructure Area'!$A$9:$BN$9,1),FALSE),0)+IFERROR(VLOOKUP($B21,'RA8-Water Management Structures'!$A$11:$BN$18,MATCH(Summary!Z$1,'RA8-Water Management Structures'!$A$9:$BN$9,1),FALSE),0)+IFERROR(VLOOKUP($B21,'RA9-Codisposal Upper'!$A$11:$BN$18,MATCH(Summary!Z$1,'RA9-Codisposal Upper'!$A$9:$BN$9,1),FALSE),0)+IFERROR(VLOOKUP($B21,'RA10-Codisposal Slopes'!$A$11:$BN$18,MATCH(Summary!Z$1,'RA10-Codisposal Slopes'!$A$9:$BN$9,1),FALSE),0)+IFERROR(VLOOKUP($B21,'IA1-Final Void inc Ramps'!$A$11:$BN$18,MATCH(Summary!Z$1,'IA1-Final Void inc Ramps'!$A$9:$BN$9,1),FALSE),0)</f>
        <v>0</v>
      </c>
      <c r="AA21" s="51">
        <f>IFERROR(VLOOKUP($B21,'RA1- Elevated Dumps Upper'!$A$11:$BN$18,MATCH(Summary!AA$1,'RA1- Elevated Dumps Upper'!$A$9:$BN$9,1),FALSE),0)+IFERROR(VLOOKUP($B21,'RA2-Elevated Dumps Slopes'!$A$11:$BN$18,MATCH(Summary!AA$1,'RA2-Elevated Dumps Slopes'!$A$9:$BN$9,1),FALSE),0)+IFERROR(VLOOKUP($B21,'RA3-Backfilled Pits'!$A$11:$BN$18,MATCH(Summary!AA$1,'RA3-Backfilled Pits'!$A$9:$BN$9,1),FALSE),0)+IFERROR(VLOOKUP($B21,'RA4-Tracks_Roads'!$A$11:$BN$18,MATCH(Summary!AA$1,'RA4-Tracks_Roads'!$A$9:$BN$9,1),FALSE),0)+IFERROR(VLOOKUP($B21,'RA5-ROM'!$A$11:$BN$18,MATCH(Summary!AA$1,'RA5-ROM'!$A$9:$BN$9,1),FALSE),0)+IFERROR(VLOOKUP($B21,'RA6-CHPP'!$A$11:$BN$18,MATCH(Summary!AA$1,'RA6-CHPP'!$A$9:$BN$9,1),FALSE),0)+IFERROR(VLOOKUP($B21,'RA7-Mine Infrastructure Area'!$A$11:$BN$18,MATCH(Summary!AA$1,'RA7-Mine Infrastructure Area'!$A$9:$BN$9,1),FALSE),0)+IFERROR(VLOOKUP($B21,'RA8-Water Management Structures'!$A$11:$BN$18,MATCH(Summary!AA$1,'RA8-Water Management Structures'!$A$9:$BN$9,1),FALSE),0)+IFERROR(VLOOKUP($B21,'RA9-Codisposal Upper'!$A$11:$BN$18,MATCH(Summary!AA$1,'RA9-Codisposal Upper'!$A$9:$BN$9,1),FALSE),0)+IFERROR(VLOOKUP($B21,'RA10-Codisposal Slopes'!$A$11:$BN$18,MATCH(Summary!AA$1,'RA10-Codisposal Slopes'!$A$9:$BN$9,1),FALSE),0)+IFERROR(VLOOKUP($B21,'IA1-Final Void inc Ramps'!$A$11:$BN$18,MATCH(Summary!AA$1,'IA1-Final Void inc Ramps'!$A$9:$BN$9,1),FALSE),0)</f>
        <v>0</v>
      </c>
      <c r="AB21" s="51">
        <f>IFERROR(VLOOKUP($B21,'RA1- Elevated Dumps Upper'!$A$11:$BN$18,MATCH(Summary!AB$1,'RA1- Elevated Dumps Upper'!$A$9:$BN$9,1),FALSE),0)+IFERROR(VLOOKUP($B21,'RA2-Elevated Dumps Slopes'!$A$11:$BN$18,MATCH(Summary!AB$1,'RA2-Elevated Dumps Slopes'!$A$9:$BN$9,1),FALSE),0)+IFERROR(VLOOKUP($B21,'RA3-Backfilled Pits'!$A$11:$BN$18,MATCH(Summary!AB$1,'RA3-Backfilled Pits'!$A$9:$BN$9,1),FALSE),0)+IFERROR(VLOOKUP($B21,'RA4-Tracks_Roads'!$A$11:$BN$18,MATCH(Summary!AB$1,'RA4-Tracks_Roads'!$A$9:$BN$9,1),FALSE),0)+IFERROR(VLOOKUP($B21,'RA5-ROM'!$A$11:$BN$18,MATCH(Summary!AB$1,'RA5-ROM'!$A$9:$BN$9,1),FALSE),0)+IFERROR(VLOOKUP($B21,'RA6-CHPP'!$A$11:$BN$18,MATCH(Summary!AB$1,'RA6-CHPP'!$A$9:$BN$9,1),FALSE),0)+IFERROR(VLOOKUP($B21,'RA7-Mine Infrastructure Area'!$A$11:$BN$18,MATCH(Summary!AB$1,'RA7-Mine Infrastructure Area'!$A$9:$BN$9,1),FALSE),0)+IFERROR(VLOOKUP($B21,'RA8-Water Management Structures'!$A$11:$BN$18,MATCH(Summary!AB$1,'RA8-Water Management Structures'!$A$9:$BN$9,1),FALSE),0)+IFERROR(VLOOKUP($B21,'RA9-Codisposal Upper'!$A$11:$BN$18,MATCH(Summary!AB$1,'RA9-Codisposal Upper'!$A$9:$BN$9,1),FALSE),0)+IFERROR(VLOOKUP($B21,'RA10-Codisposal Slopes'!$A$11:$BN$18,MATCH(Summary!AB$1,'RA10-Codisposal Slopes'!$A$9:$BN$9,1),FALSE),0)+IFERROR(VLOOKUP($B21,'IA1-Final Void inc Ramps'!$A$11:$BN$18,MATCH(Summary!AB$1,'IA1-Final Void inc Ramps'!$A$9:$BN$9,1),FALSE),0)</f>
        <v>0</v>
      </c>
      <c r="AC21" s="51">
        <f>IFERROR(VLOOKUP($B21,'RA1- Elevated Dumps Upper'!$A$11:$BN$18,MATCH(Summary!AC$1,'RA1- Elevated Dumps Upper'!$A$9:$BN$9,1),FALSE),0)+IFERROR(VLOOKUP($B21,'RA2-Elevated Dumps Slopes'!$A$11:$BN$18,MATCH(Summary!AC$1,'RA2-Elevated Dumps Slopes'!$A$9:$BN$9,1),FALSE),0)+IFERROR(VLOOKUP($B21,'RA3-Backfilled Pits'!$A$11:$BN$18,MATCH(Summary!AC$1,'RA3-Backfilled Pits'!$A$9:$BN$9,1),FALSE),0)+IFERROR(VLOOKUP($B21,'RA4-Tracks_Roads'!$A$11:$BN$18,MATCH(Summary!AC$1,'RA4-Tracks_Roads'!$A$9:$BN$9,1),FALSE),0)+IFERROR(VLOOKUP($B21,'RA5-ROM'!$A$11:$BN$18,MATCH(Summary!AC$1,'RA5-ROM'!$A$9:$BN$9,1),FALSE),0)+IFERROR(VLOOKUP($B21,'RA6-CHPP'!$A$11:$BN$18,MATCH(Summary!AC$1,'RA6-CHPP'!$A$9:$BN$9,1),FALSE),0)+IFERROR(VLOOKUP($B21,'RA7-Mine Infrastructure Area'!$A$11:$BN$18,MATCH(Summary!AC$1,'RA7-Mine Infrastructure Area'!$A$9:$BN$9,1),FALSE),0)+IFERROR(VLOOKUP($B21,'RA8-Water Management Structures'!$A$11:$BN$18,MATCH(Summary!AC$1,'RA8-Water Management Structures'!$A$9:$BN$9,1),FALSE),0)+IFERROR(VLOOKUP($B21,'RA9-Codisposal Upper'!$A$11:$BN$18,MATCH(Summary!AC$1,'RA9-Codisposal Upper'!$A$9:$BN$9,1),FALSE),0)+IFERROR(VLOOKUP($B21,'RA10-Codisposal Slopes'!$A$11:$BN$18,MATCH(Summary!AC$1,'RA10-Codisposal Slopes'!$A$9:$BN$9,1),FALSE),0)+IFERROR(VLOOKUP($B21,'IA1-Final Void inc Ramps'!$A$11:$BN$18,MATCH(Summary!AC$1,'IA1-Final Void inc Ramps'!$A$9:$BN$9,1),FALSE),0)</f>
        <v>0</v>
      </c>
      <c r="AD21" s="51">
        <f>IFERROR(VLOOKUP($B21,'RA1- Elevated Dumps Upper'!$A$11:$BN$18,MATCH(Summary!AD$1,'RA1- Elevated Dumps Upper'!$A$9:$BN$9,1),FALSE),0)+IFERROR(VLOOKUP($B21,'RA2-Elevated Dumps Slopes'!$A$11:$BN$18,MATCH(Summary!AD$1,'RA2-Elevated Dumps Slopes'!$A$9:$BN$9,1),FALSE),0)+IFERROR(VLOOKUP($B21,'RA3-Backfilled Pits'!$A$11:$BN$18,MATCH(Summary!AD$1,'RA3-Backfilled Pits'!$A$9:$BN$9,1),FALSE),0)+IFERROR(VLOOKUP($B21,'RA4-Tracks_Roads'!$A$11:$BN$18,MATCH(Summary!AD$1,'RA4-Tracks_Roads'!$A$9:$BN$9,1),FALSE),0)+IFERROR(VLOOKUP($B21,'RA5-ROM'!$A$11:$BN$18,MATCH(Summary!AD$1,'RA5-ROM'!$A$9:$BN$9,1),FALSE),0)+IFERROR(VLOOKUP($B21,'RA6-CHPP'!$A$11:$BN$18,MATCH(Summary!AD$1,'RA6-CHPP'!$A$9:$BN$9,1),FALSE),0)+IFERROR(VLOOKUP($B21,'RA7-Mine Infrastructure Area'!$A$11:$BN$18,MATCH(Summary!AD$1,'RA7-Mine Infrastructure Area'!$A$9:$BN$9,1),FALSE),0)+IFERROR(VLOOKUP($B21,'RA8-Water Management Structures'!$A$11:$BN$18,MATCH(Summary!AD$1,'RA8-Water Management Structures'!$A$9:$BN$9,1),FALSE),0)+IFERROR(VLOOKUP($B21,'RA9-Codisposal Upper'!$A$11:$BN$18,MATCH(Summary!AD$1,'RA9-Codisposal Upper'!$A$9:$BN$9,1),FALSE),0)+IFERROR(VLOOKUP($B21,'RA10-Codisposal Slopes'!$A$11:$BN$18,MATCH(Summary!AD$1,'RA10-Codisposal Slopes'!$A$9:$BN$9,1),FALSE),0)+IFERROR(VLOOKUP($B21,'IA1-Final Void inc Ramps'!$A$11:$BN$18,MATCH(Summary!AD$1,'IA1-Final Void inc Ramps'!$A$9:$BN$9,1),FALSE),0)</f>
        <v>0</v>
      </c>
      <c r="AE21" s="51">
        <f>IFERROR(VLOOKUP($B21,'RA1- Elevated Dumps Upper'!$A$11:$BN$18,MATCH(Summary!AE$1,'RA1- Elevated Dumps Upper'!$A$9:$BN$9,1),FALSE),0)+IFERROR(VLOOKUP($B21,'RA2-Elevated Dumps Slopes'!$A$11:$BN$18,MATCH(Summary!AE$1,'RA2-Elevated Dumps Slopes'!$A$9:$BN$9,1),FALSE),0)+IFERROR(VLOOKUP($B21,'RA3-Backfilled Pits'!$A$11:$BN$18,MATCH(Summary!AE$1,'RA3-Backfilled Pits'!$A$9:$BN$9,1),FALSE),0)+IFERROR(VLOOKUP($B21,'RA4-Tracks_Roads'!$A$11:$BN$18,MATCH(Summary!AE$1,'RA4-Tracks_Roads'!$A$9:$BN$9,1),FALSE),0)+IFERROR(VLOOKUP($B21,'RA5-ROM'!$A$11:$BN$18,MATCH(Summary!AE$1,'RA5-ROM'!$A$9:$BN$9,1),FALSE),0)+IFERROR(VLOOKUP($B21,'RA6-CHPP'!$A$11:$BN$18,MATCH(Summary!AE$1,'RA6-CHPP'!$A$9:$BN$9,1),FALSE),0)+IFERROR(VLOOKUP($B21,'RA7-Mine Infrastructure Area'!$A$11:$BN$18,MATCH(Summary!AE$1,'RA7-Mine Infrastructure Area'!$A$9:$BN$9,1),FALSE),0)+IFERROR(VLOOKUP($B21,'RA8-Water Management Structures'!$A$11:$BN$18,MATCH(Summary!AE$1,'RA8-Water Management Structures'!$A$9:$BN$9,1),FALSE),0)+IFERROR(VLOOKUP($B21,'RA9-Codisposal Upper'!$A$11:$BN$18,MATCH(Summary!AE$1,'RA9-Codisposal Upper'!$A$9:$BN$9,1),FALSE),0)+IFERROR(VLOOKUP($B21,'RA10-Codisposal Slopes'!$A$11:$BN$18,MATCH(Summary!AE$1,'RA10-Codisposal Slopes'!$A$9:$BN$9,1),FALSE),0)+IFERROR(VLOOKUP($B21,'IA1-Final Void inc Ramps'!$A$11:$BN$18,MATCH(Summary!AE$1,'IA1-Final Void inc Ramps'!$A$9:$BN$9,1),FALSE),0)</f>
        <v>0</v>
      </c>
      <c r="AF21" s="51">
        <f>IFERROR(VLOOKUP($B21,'RA1- Elevated Dumps Upper'!$A$11:$BN$18,MATCH(Summary!AF$1,'RA1- Elevated Dumps Upper'!$A$9:$BN$9,1),FALSE),0)+IFERROR(VLOOKUP($B21,'RA2-Elevated Dumps Slopes'!$A$11:$BN$18,MATCH(Summary!AF$1,'RA2-Elevated Dumps Slopes'!$A$9:$BN$9,1),FALSE),0)+IFERROR(VLOOKUP($B21,'RA3-Backfilled Pits'!$A$11:$BN$18,MATCH(Summary!AF$1,'RA3-Backfilled Pits'!$A$9:$BN$9,1),FALSE),0)+IFERROR(VLOOKUP($B21,'RA4-Tracks_Roads'!$A$11:$BN$18,MATCH(Summary!AF$1,'RA4-Tracks_Roads'!$A$9:$BN$9,1),FALSE),0)+IFERROR(VLOOKUP($B21,'RA5-ROM'!$A$11:$BN$18,MATCH(Summary!AF$1,'RA5-ROM'!$A$9:$BN$9,1),FALSE),0)+IFERROR(VLOOKUP($B21,'RA6-CHPP'!$A$11:$BN$18,MATCH(Summary!AF$1,'RA6-CHPP'!$A$9:$BN$9,1),FALSE),0)+IFERROR(VLOOKUP($B21,'RA7-Mine Infrastructure Area'!$A$11:$BN$18,MATCH(Summary!AF$1,'RA7-Mine Infrastructure Area'!$A$9:$BN$9,1),FALSE),0)+IFERROR(VLOOKUP($B21,'RA8-Water Management Structures'!$A$11:$BN$18,MATCH(Summary!AF$1,'RA8-Water Management Structures'!$A$9:$BN$9,1),FALSE),0)+IFERROR(VLOOKUP($B21,'RA9-Codisposal Upper'!$A$11:$BN$18,MATCH(Summary!AF$1,'RA9-Codisposal Upper'!$A$9:$BN$9,1),FALSE),0)+IFERROR(VLOOKUP($B21,'RA10-Codisposal Slopes'!$A$11:$BN$18,MATCH(Summary!AF$1,'RA10-Codisposal Slopes'!$A$9:$BN$9,1),FALSE),0)+IFERROR(VLOOKUP($B21,'IA1-Final Void inc Ramps'!$A$11:$BN$18,MATCH(Summary!AF$1,'IA1-Final Void inc Ramps'!$A$9:$BN$9,1),FALSE),0)</f>
        <v>0</v>
      </c>
      <c r="AG21" s="51">
        <f>IFERROR(VLOOKUP($B21,'RA1- Elevated Dumps Upper'!$A$11:$BN$18,MATCH(Summary!AG$1,'RA1- Elevated Dumps Upper'!$A$9:$BN$9,1),FALSE),0)+IFERROR(VLOOKUP($B21,'RA2-Elevated Dumps Slopes'!$A$11:$BN$18,MATCH(Summary!AG$1,'RA2-Elevated Dumps Slopes'!$A$9:$BN$9,1),FALSE),0)+IFERROR(VLOOKUP($B21,'RA3-Backfilled Pits'!$A$11:$BN$18,MATCH(Summary!AG$1,'RA3-Backfilled Pits'!$A$9:$BN$9,1),FALSE),0)+IFERROR(VLOOKUP($B21,'RA4-Tracks_Roads'!$A$11:$BN$18,MATCH(Summary!AG$1,'RA4-Tracks_Roads'!$A$9:$BN$9,1),FALSE),0)+IFERROR(VLOOKUP($B21,'RA5-ROM'!$A$11:$BN$18,MATCH(Summary!AG$1,'RA5-ROM'!$A$9:$BN$9,1),FALSE),0)+IFERROR(VLOOKUP($B21,'RA6-CHPP'!$A$11:$BN$18,MATCH(Summary!AG$1,'RA6-CHPP'!$A$9:$BN$9,1),FALSE),0)+IFERROR(VLOOKUP($B21,'RA7-Mine Infrastructure Area'!$A$11:$BN$18,MATCH(Summary!AG$1,'RA7-Mine Infrastructure Area'!$A$9:$BN$9,1),FALSE),0)+IFERROR(VLOOKUP($B21,'RA8-Water Management Structures'!$A$11:$BN$18,MATCH(Summary!AG$1,'RA8-Water Management Structures'!$A$9:$BN$9,1),FALSE),0)+IFERROR(VLOOKUP($B21,'RA9-Codisposal Upper'!$A$11:$BN$18,MATCH(Summary!AG$1,'RA9-Codisposal Upper'!$A$9:$BN$9,1),FALSE),0)+IFERROR(VLOOKUP($B21,'RA10-Codisposal Slopes'!$A$11:$BN$18,MATCH(Summary!AG$1,'RA10-Codisposal Slopes'!$A$9:$BN$9,1),FALSE),0)+IFERROR(VLOOKUP($B21,'IA1-Final Void inc Ramps'!$A$11:$BN$18,MATCH(Summary!AG$1,'IA1-Final Void inc Ramps'!$A$9:$BN$9,1),FALSE),0)</f>
        <v>0</v>
      </c>
      <c r="AH21" s="51">
        <f>IFERROR(VLOOKUP($B21,'RA1- Elevated Dumps Upper'!$A$11:$BN$18,MATCH(Summary!AH$1,'RA1- Elevated Dumps Upper'!$A$9:$BN$9,1),FALSE),0)+IFERROR(VLOOKUP($B21,'RA2-Elevated Dumps Slopes'!$A$11:$BN$18,MATCH(Summary!AH$1,'RA2-Elevated Dumps Slopes'!$A$9:$BN$9,1),FALSE),0)+IFERROR(VLOOKUP($B21,'RA3-Backfilled Pits'!$A$11:$BN$18,MATCH(Summary!AH$1,'RA3-Backfilled Pits'!$A$9:$BN$9,1),FALSE),0)+IFERROR(VLOOKUP($B21,'RA4-Tracks_Roads'!$A$11:$BN$18,MATCH(Summary!AH$1,'RA4-Tracks_Roads'!$A$9:$BN$9,1),FALSE),0)+IFERROR(VLOOKUP($B21,'RA5-ROM'!$A$11:$BN$18,MATCH(Summary!AH$1,'RA5-ROM'!$A$9:$BN$9,1),FALSE),0)+IFERROR(VLOOKUP($B21,'RA6-CHPP'!$A$11:$BN$18,MATCH(Summary!AH$1,'RA6-CHPP'!$A$9:$BN$9,1),FALSE),0)+IFERROR(VLOOKUP($B21,'RA7-Mine Infrastructure Area'!$A$11:$BN$18,MATCH(Summary!AH$1,'RA7-Mine Infrastructure Area'!$A$9:$BN$9,1),FALSE),0)+IFERROR(VLOOKUP($B21,'RA8-Water Management Structures'!$A$11:$BN$18,MATCH(Summary!AH$1,'RA8-Water Management Structures'!$A$9:$BN$9,1),FALSE),0)+IFERROR(VLOOKUP($B21,'RA9-Codisposal Upper'!$A$11:$BN$18,MATCH(Summary!AH$1,'RA9-Codisposal Upper'!$A$9:$BN$9,1),FALSE),0)+IFERROR(VLOOKUP($B21,'RA10-Codisposal Slopes'!$A$11:$BN$18,MATCH(Summary!AH$1,'RA10-Codisposal Slopes'!$A$9:$BN$9,1),FALSE),0)+IFERROR(VLOOKUP($B21,'IA1-Final Void inc Ramps'!$A$11:$BN$18,MATCH(Summary!AH$1,'IA1-Final Void inc Ramps'!$A$9:$BN$9,1),FALSE),0)</f>
        <v>0</v>
      </c>
      <c r="AI21" s="51">
        <f>IFERROR(VLOOKUP($B21,'RA1- Elevated Dumps Upper'!$A$11:$BN$18,MATCH(Summary!AI$1,'RA1- Elevated Dumps Upper'!$A$9:$BN$9,1),FALSE),0)+IFERROR(VLOOKUP($B21,'RA2-Elevated Dumps Slopes'!$A$11:$BN$18,MATCH(Summary!AI$1,'RA2-Elevated Dumps Slopes'!$A$9:$BN$9,1),FALSE),0)+IFERROR(VLOOKUP($B21,'RA3-Backfilled Pits'!$A$11:$BN$18,MATCH(Summary!AI$1,'RA3-Backfilled Pits'!$A$9:$BN$9,1),FALSE),0)+IFERROR(VLOOKUP($B21,'RA4-Tracks_Roads'!$A$11:$BN$18,MATCH(Summary!AI$1,'RA4-Tracks_Roads'!$A$9:$BN$9,1),FALSE),0)+IFERROR(VLOOKUP($B21,'RA5-ROM'!$A$11:$BN$18,MATCH(Summary!AI$1,'RA5-ROM'!$A$9:$BN$9,1),FALSE),0)+IFERROR(VLOOKUP($B21,'RA6-CHPP'!$A$11:$BN$18,MATCH(Summary!AI$1,'RA6-CHPP'!$A$9:$BN$9,1),FALSE),0)+IFERROR(VLOOKUP($B21,'RA7-Mine Infrastructure Area'!$A$11:$BN$18,MATCH(Summary!AI$1,'RA7-Mine Infrastructure Area'!$A$9:$BN$9,1),FALSE),0)+IFERROR(VLOOKUP($B21,'RA8-Water Management Structures'!$A$11:$BN$18,MATCH(Summary!AI$1,'RA8-Water Management Structures'!$A$9:$BN$9,1),FALSE),0)+IFERROR(VLOOKUP($B21,'RA9-Codisposal Upper'!$A$11:$BN$18,MATCH(Summary!AI$1,'RA9-Codisposal Upper'!$A$9:$BN$9,1),FALSE),0)+IFERROR(VLOOKUP($B21,'RA10-Codisposal Slopes'!$A$11:$BN$18,MATCH(Summary!AI$1,'RA10-Codisposal Slopes'!$A$9:$BN$9,1),FALSE),0)+IFERROR(VLOOKUP($B21,'IA1-Final Void inc Ramps'!$A$11:$BN$18,MATCH(Summary!AI$1,'IA1-Final Void inc Ramps'!$A$9:$BN$9,1),FALSE),0)</f>
        <v>314</v>
      </c>
      <c r="AJ21" s="51">
        <f>IFERROR(VLOOKUP($B21,'RA1- Elevated Dumps Upper'!$A$11:$BN$18,MATCH(Summary!AJ$1,'RA1- Elevated Dumps Upper'!$A$9:$BN$9,1),FALSE),0)+IFERROR(VLOOKUP($B21,'RA2-Elevated Dumps Slopes'!$A$11:$BN$18,MATCH(Summary!AJ$1,'RA2-Elevated Dumps Slopes'!$A$9:$BN$9,1),FALSE),0)+IFERROR(VLOOKUP($B21,'RA3-Backfilled Pits'!$A$11:$BN$18,MATCH(Summary!AJ$1,'RA3-Backfilled Pits'!$A$9:$BN$9,1),FALSE),0)+IFERROR(VLOOKUP($B21,'RA4-Tracks_Roads'!$A$11:$BN$18,MATCH(Summary!AJ$1,'RA4-Tracks_Roads'!$A$9:$BN$9,1),FALSE),0)+IFERROR(VLOOKUP($B21,'RA5-ROM'!$A$11:$BN$18,MATCH(Summary!AJ$1,'RA5-ROM'!$A$9:$BN$9,1),FALSE),0)+IFERROR(VLOOKUP($B21,'RA6-CHPP'!$A$11:$BN$18,MATCH(Summary!AJ$1,'RA6-CHPP'!$A$9:$BN$9,1),FALSE),0)+IFERROR(VLOOKUP($B21,'RA7-Mine Infrastructure Area'!$A$11:$BN$18,MATCH(Summary!AJ$1,'RA7-Mine Infrastructure Area'!$A$9:$BN$9,1),FALSE),0)+IFERROR(VLOOKUP($B21,'RA8-Water Management Structures'!$A$11:$BN$18,MATCH(Summary!AJ$1,'RA8-Water Management Structures'!$A$9:$BN$9,1),FALSE),0)+IFERROR(VLOOKUP($B21,'RA9-Codisposal Upper'!$A$11:$BN$18,MATCH(Summary!AJ$1,'RA9-Codisposal Upper'!$A$9:$BN$9,1),FALSE),0)+IFERROR(VLOOKUP($B21,'RA10-Codisposal Slopes'!$A$11:$BN$18,MATCH(Summary!AJ$1,'RA10-Codisposal Slopes'!$A$9:$BN$9,1),FALSE),0)+IFERROR(VLOOKUP($B21,'IA1-Final Void inc Ramps'!$A$11:$BN$18,MATCH(Summary!AJ$1,'IA1-Final Void inc Ramps'!$A$9:$BN$9,1),FALSE),0)</f>
        <v>314</v>
      </c>
      <c r="AK21" s="51">
        <f>IFERROR(VLOOKUP($B21,'RA1- Elevated Dumps Upper'!$A$11:$BN$18,MATCH(Summary!AK$1,'RA1- Elevated Dumps Upper'!$A$9:$BN$9,1),FALSE),0)+IFERROR(VLOOKUP($B21,'RA2-Elevated Dumps Slopes'!$A$11:$BN$18,MATCH(Summary!AK$1,'RA2-Elevated Dumps Slopes'!$A$9:$BN$9,1),FALSE),0)+IFERROR(VLOOKUP($B21,'RA3-Backfilled Pits'!$A$11:$BN$18,MATCH(Summary!AK$1,'RA3-Backfilled Pits'!$A$9:$BN$9,1),FALSE),0)+IFERROR(VLOOKUP($B21,'RA4-Tracks_Roads'!$A$11:$BN$18,MATCH(Summary!AK$1,'RA4-Tracks_Roads'!$A$9:$BN$9,1),FALSE),0)+IFERROR(VLOOKUP($B21,'RA5-ROM'!$A$11:$BN$18,MATCH(Summary!AK$1,'RA5-ROM'!$A$9:$BN$9,1),FALSE),0)+IFERROR(VLOOKUP($B21,'RA6-CHPP'!$A$11:$BN$18,MATCH(Summary!AK$1,'RA6-CHPP'!$A$9:$BN$9,1),FALSE),0)+IFERROR(VLOOKUP($B21,'RA7-Mine Infrastructure Area'!$A$11:$BN$18,MATCH(Summary!AK$1,'RA7-Mine Infrastructure Area'!$A$9:$BN$9,1),FALSE),0)+IFERROR(VLOOKUP($B21,'RA8-Water Management Structures'!$A$11:$BN$18,MATCH(Summary!AK$1,'RA8-Water Management Structures'!$A$9:$BN$9,1),FALSE),0)+IFERROR(VLOOKUP($B21,'RA9-Codisposal Upper'!$A$11:$BN$18,MATCH(Summary!AK$1,'RA9-Codisposal Upper'!$A$9:$BN$9,1),FALSE),0)+IFERROR(VLOOKUP($B21,'RA10-Codisposal Slopes'!$A$11:$BN$18,MATCH(Summary!AK$1,'RA10-Codisposal Slopes'!$A$9:$BN$9,1),FALSE),0)+IFERROR(VLOOKUP($B21,'IA1-Final Void inc Ramps'!$A$11:$BN$18,MATCH(Summary!AK$1,'IA1-Final Void inc Ramps'!$A$9:$BN$9,1),FALSE),0)</f>
        <v>314</v>
      </c>
      <c r="AL21" s="51">
        <f>IFERROR(VLOOKUP($B21,'RA1- Elevated Dumps Upper'!$A$11:$BN$18,MATCH(Summary!AL$1,'RA1- Elevated Dumps Upper'!$A$9:$BN$9,1),FALSE),0)+IFERROR(VLOOKUP($B21,'RA2-Elevated Dumps Slopes'!$A$11:$BN$18,MATCH(Summary!AL$1,'RA2-Elevated Dumps Slopes'!$A$9:$BN$9,1),FALSE),0)+IFERROR(VLOOKUP($B21,'RA3-Backfilled Pits'!$A$11:$BN$18,MATCH(Summary!AL$1,'RA3-Backfilled Pits'!$A$9:$BN$9,1),FALSE),0)+IFERROR(VLOOKUP($B21,'RA4-Tracks_Roads'!$A$11:$BN$18,MATCH(Summary!AL$1,'RA4-Tracks_Roads'!$A$9:$BN$9,1),FALSE),0)+IFERROR(VLOOKUP($B21,'RA5-ROM'!$A$11:$BN$18,MATCH(Summary!AL$1,'RA5-ROM'!$A$9:$BN$9,1),FALSE),0)+IFERROR(VLOOKUP($B21,'RA6-CHPP'!$A$11:$BN$18,MATCH(Summary!AL$1,'RA6-CHPP'!$A$9:$BN$9,1),FALSE),0)+IFERROR(VLOOKUP($B21,'RA7-Mine Infrastructure Area'!$A$11:$BN$18,MATCH(Summary!AL$1,'RA7-Mine Infrastructure Area'!$A$9:$BN$9,1),FALSE),0)+IFERROR(VLOOKUP($B21,'RA8-Water Management Structures'!$A$11:$BN$18,MATCH(Summary!AL$1,'RA8-Water Management Structures'!$A$9:$BN$9,1),FALSE),0)+IFERROR(VLOOKUP($B21,'RA9-Codisposal Upper'!$A$11:$BN$18,MATCH(Summary!AL$1,'RA9-Codisposal Upper'!$A$9:$BN$9,1),FALSE),0)+IFERROR(VLOOKUP($B21,'RA10-Codisposal Slopes'!$A$11:$BN$18,MATCH(Summary!AL$1,'RA10-Codisposal Slopes'!$A$9:$BN$9,1),FALSE),0)+IFERROR(VLOOKUP($B21,'IA1-Final Void inc Ramps'!$A$11:$BN$18,MATCH(Summary!AL$1,'IA1-Final Void inc Ramps'!$A$9:$BN$9,1),FALSE),0)</f>
        <v>314</v>
      </c>
      <c r="AM21" s="51">
        <f>IFERROR(VLOOKUP($B21,'RA1- Elevated Dumps Upper'!$A$11:$BN$18,MATCH(Summary!AM$1,'RA1- Elevated Dumps Upper'!$A$9:$BN$9,1),FALSE),0)+IFERROR(VLOOKUP($B21,'RA2-Elevated Dumps Slopes'!$A$11:$BN$18,MATCH(Summary!AM$1,'RA2-Elevated Dumps Slopes'!$A$9:$BN$9,1),FALSE),0)+IFERROR(VLOOKUP($B21,'RA3-Backfilled Pits'!$A$11:$BN$18,MATCH(Summary!AM$1,'RA3-Backfilled Pits'!$A$9:$BN$9,1),FALSE),0)+IFERROR(VLOOKUP($B21,'RA4-Tracks_Roads'!$A$11:$BN$18,MATCH(Summary!AM$1,'RA4-Tracks_Roads'!$A$9:$BN$9,1),FALSE),0)+IFERROR(VLOOKUP($B21,'RA5-ROM'!$A$11:$BN$18,MATCH(Summary!AM$1,'RA5-ROM'!$A$9:$BN$9,1),FALSE),0)+IFERROR(VLOOKUP($B21,'RA6-CHPP'!$A$11:$BN$18,MATCH(Summary!AM$1,'RA6-CHPP'!$A$9:$BN$9,1),FALSE),0)+IFERROR(VLOOKUP($B21,'RA7-Mine Infrastructure Area'!$A$11:$BN$18,MATCH(Summary!AM$1,'RA7-Mine Infrastructure Area'!$A$9:$BN$9,1),FALSE),0)+IFERROR(VLOOKUP($B21,'RA8-Water Management Structures'!$A$11:$BN$18,MATCH(Summary!AM$1,'RA8-Water Management Structures'!$A$9:$BN$9,1),FALSE),0)+IFERROR(VLOOKUP($B21,'RA9-Codisposal Upper'!$A$11:$BN$18,MATCH(Summary!AM$1,'RA9-Codisposal Upper'!$A$9:$BN$9,1),FALSE),0)+IFERROR(VLOOKUP($B21,'RA10-Codisposal Slopes'!$A$11:$BN$18,MATCH(Summary!AM$1,'RA10-Codisposal Slopes'!$A$9:$BN$9,1),FALSE),0)+IFERROR(VLOOKUP($B21,'IA1-Final Void inc Ramps'!$A$11:$BN$18,MATCH(Summary!AM$1,'IA1-Final Void inc Ramps'!$A$9:$BN$9,1),FALSE),0)</f>
        <v>314</v>
      </c>
      <c r="AN21" s="51">
        <f>IFERROR(VLOOKUP($B21,'RA1- Elevated Dumps Upper'!$A$11:$BN$18,MATCH(Summary!AN$1,'RA1- Elevated Dumps Upper'!$A$9:$BN$9,1),FALSE),0)+IFERROR(VLOOKUP($B21,'RA2-Elevated Dumps Slopes'!$A$11:$BN$18,MATCH(Summary!AN$1,'RA2-Elevated Dumps Slopes'!$A$9:$BN$9,1),FALSE),0)+IFERROR(VLOOKUP($B21,'RA3-Backfilled Pits'!$A$11:$BN$18,MATCH(Summary!AN$1,'RA3-Backfilled Pits'!$A$9:$BN$9,1),FALSE),0)+IFERROR(VLOOKUP($B21,'RA4-Tracks_Roads'!$A$11:$BN$18,MATCH(Summary!AN$1,'RA4-Tracks_Roads'!$A$9:$BN$9,1),FALSE),0)+IFERROR(VLOOKUP($B21,'RA5-ROM'!$A$11:$BN$18,MATCH(Summary!AN$1,'RA5-ROM'!$A$9:$BN$9,1),FALSE),0)+IFERROR(VLOOKUP($B21,'RA6-CHPP'!$A$11:$BN$18,MATCH(Summary!AN$1,'RA6-CHPP'!$A$9:$BN$9,1),FALSE),0)+IFERROR(VLOOKUP($B21,'RA7-Mine Infrastructure Area'!$A$11:$BN$18,MATCH(Summary!AN$1,'RA7-Mine Infrastructure Area'!$A$9:$BN$9,1),FALSE),0)+IFERROR(VLOOKUP($B21,'RA8-Water Management Structures'!$A$11:$BN$18,MATCH(Summary!AN$1,'RA8-Water Management Structures'!$A$9:$BN$9,1),FALSE),0)+IFERROR(VLOOKUP($B21,'RA9-Codisposal Upper'!$A$11:$BN$18,MATCH(Summary!AN$1,'RA9-Codisposal Upper'!$A$9:$BN$9,1),FALSE),0)+IFERROR(VLOOKUP($B21,'RA10-Codisposal Slopes'!$A$11:$BN$18,MATCH(Summary!AN$1,'RA10-Codisposal Slopes'!$A$9:$BN$9,1),FALSE),0)+IFERROR(VLOOKUP($B21,'IA1-Final Void inc Ramps'!$A$11:$BN$18,MATCH(Summary!AN$1,'IA1-Final Void inc Ramps'!$A$9:$BN$9,1),FALSE),0)</f>
        <v>314</v>
      </c>
      <c r="AO21" s="51">
        <f>IFERROR(VLOOKUP($B21,'RA1- Elevated Dumps Upper'!$A$11:$BN$18,MATCH(Summary!AO$1,'RA1- Elevated Dumps Upper'!$A$9:$BN$9,1),FALSE),0)+IFERROR(VLOOKUP($B21,'RA2-Elevated Dumps Slopes'!$A$11:$BN$18,MATCH(Summary!AO$1,'RA2-Elevated Dumps Slopes'!$A$9:$BN$9,1),FALSE),0)+IFERROR(VLOOKUP($B21,'RA3-Backfilled Pits'!$A$11:$BN$18,MATCH(Summary!AO$1,'RA3-Backfilled Pits'!$A$9:$BN$9,1),FALSE),0)+IFERROR(VLOOKUP($B21,'RA4-Tracks_Roads'!$A$11:$BN$18,MATCH(Summary!AO$1,'RA4-Tracks_Roads'!$A$9:$BN$9,1),FALSE),0)+IFERROR(VLOOKUP($B21,'RA5-ROM'!$A$11:$BN$18,MATCH(Summary!AO$1,'RA5-ROM'!$A$9:$BN$9,1),FALSE),0)+IFERROR(VLOOKUP($B21,'RA6-CHPP'!$A$11:$BN$18,MATCH(Summary!AO$1,'RA6-CHPP'!$A$9:$BN$9,1),FALSE),0)+IFERROR(VLOOKUP($B21,'RA7-Mine Infrastructure Area'!$A$11:$BN$18,MATCH(Summary!AO$1,'RA7-Mine Infrastructure Area'!$A$9:$BN$9,1),FALSE),0)+IFERROR(VLOOKUP($B21,'RA8-Water Management Structures'!$A$11:$BN$18,MATCH(Summary!AO$1,'RA8-Water Management Structures'!$A$9:$BN$9,1),FALSE),0)+IFERROR(VLOOKUP($B21,'RA9-Codisposal Upper'!$A$11:$BN$18,MATCH(Summary!AO$1,'RA9-Codisposal Upper'!$A$9:$BN$9,1),FALSE),0)+IFERROR(VLOOKUP($B21,'RA10-Codisposal Slopes'!$A$11:$BN$18,MATCH(Summary!AO$1,'RA10-Codisposal Slopes'!$A$9:$BN$9,1),FALSE),0)+IFERROR(VLOOKUP($B21,'IA1-Final Void inc Ramps'!$A$11:$BN$18,MATCH(Summary!AO$1,'IA1-Final Void inc Ramps'!$A$9:$BN$9,1),FALSE),0)</f>
        <v>314</v>
      </c>
      <c r="AP21" s="51">
        <f>IFERROR(VLOOKUP($B21,'RA1- Elevated Dumps Upper'!$A$11:$BN$18,MATCH(Summary!AP$1,'RA1- Elevated Dumps Upper'!$A$9:$BN$9,1),FALSE),0)+IFERROR(VLOOKUP($B21,'RA2-Elevated Dumps Slopes'!$A$11:$BN$18,MATCH(Summary!AP$1,'RA2-Elevated Dumps Slopes'!$A$9:$BN$9,1),FALSE),0)+IFERROR(VLOOKUP($B21,'RA3-Backfilled Pits'!$A$11:$BN$18,MATCH(Summary!AP$1,'RA3-Backfilled Pits'!$A$9:$BN$9,1),FALSE),0)+IFERROR(VLOOKUP($B21,'RA4-Tracks_Roads'!$A$11:$BN$18,MATCH(Summary!AP$1,'RA4-Tracks_Roads'!$A$9:$BN$9,1),FALSE),0)+IFERROR(VLOOKUP($B21,'RA5-ROM'!$A$11:$BN$18,MATCH(Summary!AP$1,'RA5-ROM'!$A$9:$BN$9,1),FALSE),0)+IFERROR(VLOOKUP($B21,'RA6-CHPP'!$A$11:$BN$18,MATCH(Summary!AP$1,'RA6-CHPP'!$A$9:$BN$9,1),FALSE),0)+IFERROR(VLOOKUP($B21,'RA7-Mine Infrastructure Area'!$A$11:$BN$18,MATCH(Summary!AP$1,'RA7-Mine Infrastructure Area'!$A$9:$BN$9,1),FALSE),0)+IFERROR(VLOOKUP($B21,'RA8-Water Management Structures'!$A$11:$BN$18,MATCH(Summary!AP$1,'RA8-Water Management Structures'!$A$9:$BN$9,1),FALSE),0)+IFERROR(VLOOKUP($B21,'RA9-Codisposal Upper'!$A$11:$BN$18,MATCH(Summary!AP$1,'RA9-Codisposal Upper'!$A$9:$BN$9,1),FALSE),0)+IFERROR(VLOOKUP($B21,'RA10-Codisposal Slopes'!$A$11:$BN$18,MATCH(Summary!AP$1,'RA10-Codisposal Slopes'!$A$9:$BN$9,1),FALSE),0)+IFERROR(VLOOKUP($B21,'IA1-Final Void inc Ramps'!$A$11:$BN$18,MATCH(Summary!AP$1,'IA1-Final Void inc Ramps'!$A$9:$BN$9,1),FALSE),0)</f>
        <v>338</v>
      </c>
      <c r="AQ21" s="51">
        <f>IFERROR(VLOOKUP($B21,'RA1- Elevated Dumps Upper'!$A$11:$BN$18,MATCH(Summary!AQ$1,'RA1- Elevated Dumps Upper'!$A$9:$BN$9,1),FALSE),0)+IFERROR(VLOOKUP($B21,'RA2-Elevated Dumps Slopes'!$A$11:$BN$18,MATCH(Summary!AQ$1,'RA2-Elevated Dumps Slopes'!$A$9:$BN$9,1),FALSE),0)+IFERROR(VLOOKUP($B21,'RA3-Backfilled Pits'!$A$11:$BN$18,MATCH(Summary!AQ$1,'RA3-Backfilled Pits'!$A$9:$BN$9,1),FALSE),0)+IFERROR(VLOOKUP($B21,'RA4-Tracks_Roads'!$A$11:$BN$18,MATCH(Summary!AQ$1,'RA4-Tracks_Roads'!$A$9:$BN$9,1),FALSE),0)+IFERROR(VLOOKUP($B21,'RA5-ROM'!$A$11:$BN$18,MATCH(Summary!AQ$1,'RA5-ROM'!$A$9:$BN$9,1),FALSE),0)+IFERROR(VLOOKUP($B21,'RA6-CHPP'!$A$11:$BN$18,MATCH(Summary!AQ$1,'RA6-CHPP'!$A$9:$BN$9,1),FALSE),0)+IFERROR(VLOOKUP($B21,'RA7-Mine Infrastructure Area'!$A$11:$BN$18,MATCH(Summary!AQ$1,'RA7-Mine Infrastructure Area'!$A$9:$BN$9,1),FALSE),0)+IFERROR(VLOOKUP($B21,'RA8-Water Management Structures'!$A$11:$BN$18,MATCH(Summary!AQ$1,'RA8-Water Management Structures'!$A$9:$BN$9,1),FALSE),0)+IFERROR(VLOOKUP($B21,'RA9-Codisposal Upper'!$A$11:$BN$18,MATCH(Summary!AQ$1,'RA9-Codisposal Upper'!$A$9:$BN$9,1),FALSE),0)+IFERROR(VLOOKUP($B21,'RA10-Codisposal Slopes'!$A$11:$BN$18,MATCH(Summary!AQ$1,'RA10-Codisposal Slopes'!$A$9:$BN$9,1),FALSE),0)+IFERROR(VLOOKUP($B21,'IA1-Final Void inc Ramps'!$A$11:$BN$18,MATCH(Summary!AQ$1,'IA1-Final Void inc Ramps'!$A$9:$BN$9,1),FALSE),0)</f>
        <v>449</v>
      </c>
      <c r="AR21" s="51">
        <f>IFERROR(VLOOKUP($B21,'RA1- Elevated Dumps Upper'!$A$11:$BN$18,MATCH(Summary!AR$1,'RA1- Elevated Dumps Upper'!$A$9:$BN$9,1),FALSE),0)+IFERROR(VLOOKUP($B21,'RA2-Elevated Dumps Slopes'!$A$11:$BN$18,MATCH(Summary!AR$1,'RA2-Elevated Dumps Slopes'!$A$9:$BN$9,1),FALSE),0)+IFERROR(VLOOKUP($B21,'RA3-Backfilled Pits'!$A$11:$BN$18,MATCH(Summary!AR$1,'RA3-Backfilled Pits'!$A$9:$BN$9,1),FALSE),0)+IFERROR(VLOOKUP($B21,'RA4-Tracks_Roads'!$A$11:$BN$18,MATCH(Summary!AR$1,'RA4-Tracks_Roads'!$A$9:$BN$9,1),FALSE),0)+IFERROR(VLOOKUP($B21,'RA5-ROM'!$A$11:$BN$18,MATCH(Summary!AR$1,'RA5-ROM'!$A$9:$BN$9,1),FALSE),0)+IFERROR(VLOOKUP($B21,'RA6-CHPP'!$A$11:$BN$18,MATCH(Summary!AR$1,'RA6-CHPP'!$A$9:$BN$9,1),FALSE),0)+IFERROR(VLOOKUP($B21,'RA7-Mine Infrastructure Area'!$A$11:$BN$18,MATCH(Summary!AR$1,'RA7-Mine Infrastructure Area'!$A$9:$BN$9,1),FALSE),0)+IFERROR(VLOOKUP($B21,'RA8-Water Management Structures'!$A$11:$BN$18,MATCH(Summary!AR$1,'RA8-Water Management Structures'!$A$9:$BN$9,1),FALSE),0)+IFERROR(VLOOKUP($B21,'RA9-Codisposal Upper'!$A$11:$BN$18,MATCH(Summary!AR$1,'RA9-Codisposal Upper'!$A$9:$BN$9,1),FALSE),0)+IFERROR(VLOOKUP($B21,'RA10-Codisposal Slopes'!$A$11:$BN$18,MATCH(Summary!AR$1,'RA10-Codisposal Slopes'!$A$9:$BN$9,1),FALSE),0)+IFERROR(VLOOKUP($B21,'IA1-Final Void inc Ramps'!$A$11:$BN$18,MATCH(Summary!AR$1,'IA1-Final Void inc Ramps'!$A$9:$BN$9,1),FALSE),0)</f>
        <v>477.00299999999999</v>
      </c>
      <c r="AS21" s="51">
        <f>IFERROR(VLOOKUP($B21,'RA1- Elevated Dumps Upper'!$A$11:$BN$18,MATCH(Summary!AS$1,'RA1- Elevated Dumps Upper'!$A$9:$BN$9,1),FALSE),0)+IFERROR(VLOOKUP($B21,'RA2-Elevated Dumps Slopes'!$A$11:$BN$18,MATCH(Summary!AS$1,'RA2-Elevated Dumps Slopes'!$A$9:$BN$9,1),FALSE),0)+IFERROR(VLOOKUP($B21,'RA3-Backfilled Pits'!$A$11:$BN$18,MATCH(Summary!AS$1,'RA3-Backfilled Pits'!$A$9:$BN$9,1),FALSE),0)+IFERROR(VLOOKUP($B21,'RA4-Tracks_Roads'!$A$11:$BN$18,MATCH(Summary!AS$1,'RA4-Tracks_Roads'!$A$9:$BN$9,1),FALSE),0)+IFERROR(VLOOKUP($B21,'RA5-ROM'!$A$11:$BN$18,MATCH(Summary!AS$1,'RA5-ROM'!$A$9:$BN$9,1),FALSE),0)+IFERROR(VLOOKUP($B21,'RA6-CHPP'!$A$11:$BN$18,MATCH(Summary!AS$1,'RA6-CHPP'!$A$9:$BN$9,1),FALSE),0)+IFERROR(VLOOKUP($B21,'RA7-Mine Infrastructure Area'!$A$11:$BN$18,MATCH(Summary!AS$1,'RA7-Mine Infrastructure Area'!$A$9:$BN$9,1),FALSE),0)+IFERROR(VLOOKUP($B21,'RA8-Water Management Structures'!$A$11:$BN$18,MATCH(Summary!AS$1,'RA8-Water Management Structures'!$A$9:$BN$9,1),FALSE),0)+IFERROR(VLOOKUP($B21,'RA9-Codisposal Upper'!$A$11:$BN$18,MATCH(Summary!AS$1,'RA9-Codisposal Upper'!$A$9:$BN$9,1),FALSE),0)+IFERROR(VLOOKUP($B21,'RA10-Codisposal Slopes'!$A$11:$BN$18,MATCH(Summary!AS$1,'RA10-Codisposal Slopes'!$A$9:$BN$9,1),FALSE),0)+IFERROR(VLOOKUP($B21,'IA1-Final Void inc Ramps'!$A$11:$BN$18,MATCH(Summary!AS$1,'IA1-Final Void inc Ramps'!$A$9:$BN$9,1),FALSE),0)</f>
        <v>569.90300000000002</v>
      </c>
      <c r="AT21" s="51">
        <f>IFERROR(VLOOKUP($B21,'RA1- Elevated Dumps Upper'!$A$11:$BN$18,MATCH(Summary!AT$1,'RA1- Elevated Dumps Upper'!$A$9:$BN$9,1),FALSE),0)+IFERROR(VLOOKUP($B21,'RA2-Elevated Dumps Slopes'!$A$11:$BN$18,MATCH(Summary!AT$1,'RA2-Elevated Dumps Slopes'!$A$9:$BN$9,1),FALSE),0)+IFERROR(VLOOKUP($B21,'RA3-Backfilled Pits'!$A$11:$BN$18,MATCH(Summary!AT$1,'RA3-Backfilled Pits'!$A$9:$BN$9,1),FALSE),0)+IFERROR(VLOOKUP($B21,'RA4-Tracks_Roads'!$A$11:$BN$18,MATCH(Summary!AT$1,'RA4-Tracks_Roads'!$A$9:$BN$9,1),FALSE),0)+IFERROR(VLOOKUP($B21,'RA5-ROM'!$A$11:$BN$18,MATCH(Summary!AT$1,'RA5-ROM'!$A$9:$BN$9,1),FALSE),0)+IFERROR(VLOOKUP($B21,'RA6-CHPP'!$A$11:$BN$18,MATCH(Summary!AT$1,'RA6-CHPP'!$A$9:$BN$9,1),FALSE),0)+IFERROR(VLOOKUP($B21,'RA7-Mine Infrastructure Area'!$A$11:$BN$18,MATCH(Summary!AT$1,'RA7-Mine Infrastructure Area'!$A$9:$BN$9,1),FALSE),0)+IFERROR(VLOOKUP($B21,'RA8-Water Management Structures'!$A$11:$BN$18,MATCH(Summary!AT$1,'RA8-Water Management Structures'!$A$9:$BN$9,1),FALSE),0)+IFERROR(VLOOKUP($B21,'RA9-Codisposal Upper'!$A$11:$BN$18,MATCH(Summary!AT$1,'RA9-Codisposal Upper'!$A$9:$BN$9,1),FALSE),0)+IFERROR(VLOOKUP($B21,'RA10-Codisposal Slopes'!$A$11:$BN$18,MATCH(Summary!AT$1,'RA10-Codisposal Slopes'!$A$9:$BN$9,1),FALSE),0)+IFERROR(VLOOKUP($B21,'IA1-Final Void inc Ramps'!$A$11:$BN$18,MATCH(Summary!AT$1,'IA1-Final Void inc Ramps'!$A$9:$BN$9,1),FALSE),0)</f>
        <v>569.90300000000002</v>
      </c>
      <c r="AU21" s="51">
        <f>IFERROR(VLOOKUP($B21,'RA1- Elevated Dumps Upper'!$A$11:$BN$18,MATCH(Summary!AU$1,'RA1- Elevated Dumps Upper'!$A$9:$BN$9,1),FALSE),0)+IFERROR(VLOOKUP($B21,'RA2-Elevated Dumps Slopes'!$A$11:$BN$18,MATCH(Summary!AU$1,'RA2-Elevated Dumps Slopes'!$A$9:$BN$9,1),FALSE),0)+IFERROR(VLOOKUP($B21,'RA3-Backfilled Pits'!$A$11:$BN$18,MATCH(Summary!AU$1,'RA3-Backfilled Pits'!$A$9:$BN$9,1),FALSE),0)+IFERROR(VLOOKUP($B21,'RA4-Tracks_Roads'!$A$11:$BN$18,MATCH(Summary!AU$1,'RA4-Tracks_Roads'!$A$9:$BN$9,1),FALSE),0)+IFERROR(VLOOKUP($B21,'RA5-ROM'!$A$11:$BN$18,MATCH(Summary!AU$1,'RA5-ROM'!$A$9:$BN$9,1),FALSE),0)+IFERROR(VLOOKUP($B21,'RA6-CHPP'!$A$11:$BN$18,MATCH(Summary!AU$1,'RA6-CHPP'!$A$9:$BN$9,1),FALSE),0)+IFERROR(VLOOKUP($B21,'RA7-Mine Infrastructure Area'!$A$11:$BN$18,MATCH(Summary!AU$1,'RA7-Mine Infrastructure Area'!$A$9:$BN$9,1),FALSE),0)+IFERROR(VLOOKUP($B21,'RA8-Water Management Structures'!$A$11:$BN$18,MATCH(Summary!AU$1,'RA8-Water Management Structures'!$A$9:$BN$9,1),FALSE),0)+IFERROR(VLOOKUP($B21,'RA9-Codisposal Upper'!$A$11:$BN$18,MATCH(Summary!AU$1,'RA9-Codisposal Upper'!$A$9:$BN$9,1),FALSE),0)+IFERROR(VLOOKUP($B21,'RA10-Codisposal Slopes'!$A$11:$BN$18,MATCH(Summary!AU$1,'RA10-Codisposal Slopes'!$A$9:$BN$9,1),FALSE),0)+IFERROR(VLOOKUP($B21,'IA1-Final Void inc Ramps'!$A$11:$BN$18,MATCH(Summary!AU$1,'IA1-Final Void inc Ramps'!$A$9:$BN$9,1),FALSE),0)</f>
        <v>569.90300000000002</v>
      </c>
      <c r="AV21" s="51">
        <f>IFERROR(VLOOKUP($B21,'RA1- Elevated Dumps Upper'!$A$11:$BN$18,MATCH(Summary!AV$1,'RA1- Elevated Dumps Upper'!$A$9:$BN$9,1),FALSE),0)+IFERROR(VLOOKUP($B21,'RA2-Elevated Dumps Slopes'!$A$11:$BN$18,MATCH(Summary!AV$1,'RA2-Elevated Dumps Slopes'!$A$9:$BN$9,1),FALSE),0)+IFERROR(VLOOKUP($B21,'RA3-Backfilled Pits'!$A$11:$BN$18,MATCH(Summary!AV$1,'RA3-Backfilled Pits'!$A$9:$BN$9,1),FALSE),0)+IFERROR(VLOOKUP($B21,'RA4-Tracks_Roads'!$A$11:$BN$18,MATCH(Summary!AV$1,'RA4-Tracks_Roads'!$A$9:$BN$9,1),FALSE),0)+IFERROR(VLOOKUP($B21,'RA5-ROM'!$A$11:$BN$18,MATCH(Summary!AV$1,'RA5-ROM'!$A$9:$BN$9,1),FALSE),0)+IFERROR(VLOOKUP($B21,'RA6-CHPP'!$A$11:$BN$18,MATCH(Summary!AV$1,'RA6-CHPP'!$A$9:$BN$9,1),FALSE),0)+IFERROR(VLOOKUP($B21,'RA7-Mine Infrastructure Area'!$A$11:$BN$18,MATCH(Summary!AV$1,'RA7-Mine Infrastructure Area'!$A$9:$BN$9,1),FALSE),0)+IFERROR(VLOOKUP($B21,'RA8-Water Management Structures'!$A$11:$BN$18,MATCH(Summary!AV$1,'RA8-Water Management Structures'!$A$9:$BN$9,1),FALSE),0)+IFERROR(VLOOKUP($B21,'RA9-Codisposal Upper'!$A$11:$BN$18,MATCH(Summary!AV$1,'RA9-Codisposal Upper'!$A$9:$BN$9,1),FALSE),0)+IFERROR(VLOOKUP($B21,'RA10-Codisposal Slopes'!$A$11:$BN$18,MATCH(Summary!AV$1,'RA10-Codisposal Slopes'!$A$9:$BN$9,1),FALSE),0)+IFERROR(VLOOKUP($B21,'IA1-Final Void inc Ramps'!$A$11:$BN$18,MATCH(Summary!AV$1,'IA1-Final Void inc Ramps'!$A$9:$BN$9,1),FALSE),0)</f>
        <v>569.90300000000002</v>
      </c>
      <c r="AW21" s="51">
        <f>IFERROR(VLOOKUP($B21,'RA1- Elevated Dumps Upper'!$A$11:$BN$18,MATCH(Summary!AW$1,'RA1- Elevated Dumps Upper'!$A$9:$BN$9,1),FALSE),0)+IFERROR(VLOOKUP($B21,'RA2-Elevated Dumps Slopes'!$A$11:$BN$18,MATCH(Summary!AW$1,'RA2-Elevated Dumps Slopes'!$A$9:$BN$9,1),FALSE),0)+IFERROR(VLOOKUP($B21,'RA3-Backfilled Pits'!$A$11:$BN$18,MATCH(Summary!AW$1,'RA3-Backfilled Pits'!$A$9:$BN$9,1),FALSE),0)+IFERROR(VLOOKUP($B21,'RA4-Tracks_Roads'!$A$11:$BN$18,MATCH(Summary!AW$1,'RA4-Tracks_Roads'!$A$9:$BN$9,1),FALSE),0)+IFERROR(VLOOKUP($B21,'RA5-ROM'!$A$11:$BN$18,MATCH(Summary!AW$1,'RA5-ROM'!$A$9:$BN$9,1),FALSE),0)+IFERROR(VLOOKUP($B21,'RA6-CHPP'!$A$11:$BN$18,MATCH(Summary!AW$1,'RA6-CHPP'!$A$9:$BN$9,1),FALSE),0)+IFERROR(VLOOKUP($B21,'RA7-Mine Infrastructure Area'!$A$11:$BN$18,MATCH(Summary!AW$1,'RA7-Mine Infrastructure Area'!$A$9:$BN$9,1),FALSE),0)+IFERROR(VLOOKUP($B21,'RA8-Water Management Structures'!$A$11:$BN$18,MATCH(Summary!AW$1,'RA8-Water Management Structures'!$A$9:$BN$9,1),FALSE),0)+IFERROR(VLOOKUP($B21,'RA9-Codisposal Upper'!$A$11:$BN$18,MATCH(Summary!AW$1,'RA9-Codisposal Upper'!$A$9:$BN$9,1),FALSE),0)+IFERROR(VLOOKUP($B21,'RA10-Codisposal Slopes'!$A$11:$BN$18,MATCH(Summary!AW$1,'RA10-Codisposal Slopes'!$A$9:$BN$9,1),FALSE),0)+IFERROR(VLOOKUP($B21,'IA1-Final Void inc Ramps'!$A$11:$BN$18,MATCH(Summary!AW$1,'IA1-Final Void inc Ramps'!$A$9:$BN$9,1),FALSE),0)</f>
        <v>569.90300000000002</v>
      </c>
      <c r="AX21" s="51">
        <f>IFERROR(VLOOKUP($B21,'RA1- Elevated Dumps Upper'!$A$11:$BN$18,MATCH(Summary!AX$1,'RA1- Elevated Dumps Upper'!$A$9:$BN$9,1),FALSE),0)+IFERROR(VLOOKUP($B21,'RA2-Elevated Dumps Slopes'!$A$11:$BN$18,MATCH(Summary!AX$1,'RA2-Elevated Dumps Slopes'!$A$9:$BN$9,1),FALSE),0)+IFERROR(VLOOKUP($B21,'RA3-Backfilled Pits'!$A$11:$BN$18,MATCH(Summary!AX$1,'RA3-Backfilled Pits'!$A$9:$BN$9,1),FALSE),0)+IFERROR(VLOOKUP($B21,'RA4-Tracks_Roads'!$A$11:$BN$18,MATCH(Summary!AX$1,'RA4-Tracks_Roads'!$A$9:$BN$9,1),FALSE),0)+IFERROR(VLOOKUP($B21,'RA5-ROM'!$A$11:$BN$18,MATCH(Summary!AX$1,'RA5-ROM'!$A$9:$BN$9,1),FALSE),0)+IFERROR(VLOOKUP($B21,'RA6-CHPP'!$A$11:$BN$18,MATCH(Summary!AX$1,'RA6-CHPP'!$A$9:$BN$9,1),FALSE),0)+IFERROR(VLOOKUP($B21,'RA7-Mine Infrastructure Area'!$A$11:$BN$18,MATCH(Summary!AX$1,'RA7-Mine Infrastructure Area'!$A$9:$BN$9,1),FALSE),0)+IFERROR(VLOOKUP($B21,'RA8-Water Management Structures'!$A$11:$BN$18,MATCH(Summary!AX$1,'RA8-Water Management Structures'!$A$9:$BN$9,1),FALSE),0)+IFERROR(VLOOKUP($B21,'RA9-Codisposal Upper'!$A$11:$BN$18,MATCH(Summary!AX$1,'RA9-Codisposal Upper'!$A$9:$BN$9,1),FALSE),0)+IFERROR(VLOOKUP($B21,'RA10-Codisposal Slopes'!$A$11:$BN$18,MATCH(Summary!AX$1,'RA10-Codisposal Slopes'!$A$9:$BN$9,1),FALSE),0)+IFERROR(VLOOKUP($B21,'IA1-Final Void inc Ramps'!$A$11:$BN$18,MATCH(Summary!AX$1,'IA1-Final Void inc Ramps'!$A$9:$BN$9,1),FALSE),0)</f>
        <v>569.90300000000002</v>
      </c>
      <c r="AY21" s="51">
        <f>IFERROR(VLOOKUP($B21,'RA1- Elevated Dumps Upper'!$A$11:$BN$18,MATCH(Summary!AY$1,'RA1- Elevated Dumps Upper'!$A$9:$BN$9,1),FALSE),0)+IFERROR(VLOOKUP($B21,'RA2-Elevated Dumps Slopes'!$A$11:$BN$18,MATCH(Summary!AY$1,'RA2-Elevated Dumps Slopes'!$A$9:$BN$9,1),FALSE),0)+IFERROR(VLOOKUP($B21,'RA3-Backfilled Pits'!$A$11:$BN$18,MATCH(Summary!AY$1,'RA3-Backfilled Pits'!$A$9:$BN$9,1),FALSE),0)+IFERROR(VLOOKUP($B21,'RA4-Tracks_Roads'!$A$11:$BN$18,MATCH(Summary!AY$1,'RA4-Tracks_Roads'!$A$9:$BN$9,1),FALSE),0)+IFERROR(VLOOKUP($B21,'RA5-ROM'!$A$11:$BN$18,MATCH(Summary!AY$1,'RA5-ROM'!$A$9:$BN$9,1),FALSE),0)+IFERROR(VLOOKUP($B21,'RA6-CHPP'!$A$11:$BN$18,MATCH(Summary!AY$1,'RA6-CHPP'!$A$9:$BN$9,1),FALSE),0)+IFERROR(VLOOKUP($B21,'RA7-Mine Infrastructure Area'!$A$11:$BN$18,MATCH(Summary!AY$1,'RA7-Mine Infrastructure Area'!$A$9:$BN$9,1),FALSE),0)+IFERROR(VLOOKUP($B21,'RA8-Water Management Structures'!$A$11:$BN$18,MATCH(Summary!AY$1,'RA8-Water Management Structures'!$A$9:$BN$9,1),FALSE),0)+IFERROR(VLOOKUP($B21,'RA9-Codisposal Upper'!$A$11:$BN$18,MATCH(Summary!AY$1,'RA9-Codisposal Upper'!$A$9:$BN$9,1),FALSE),0)+IFERROR(VLOOKUP($B21,'RA10-Codisposal Slopes'!$A$11:$BN$18,MATCH(Summary!AY$1,'RA10-Codisposal Slopes'!$A$9:$BN$9,1),FALSE),0)+IFERROR(VLOOKUP($B21,'IA1-Final Void inc Ramps'!$A$11:$BN$18,MATCH(Summary!AY$1,'IA1-Final Void inc Ramps'!$A$9:$BN$9,1),FALSE),0)</f>
        <v>569.90300000000002</v>
      </c>
      <c r="AZ21" s="51">
        <f>IFERROR(VLOOKUP($B21,'RA1- Elevated Dumps Upper'!$A$11:$BN$18,MATCH(Summary!AZ$1,'RA1- Elevated Dumps Upper'!$A$9:$BN$9,1),FALSE),0)+IFERROR(VLOOKUP($B21,'RA2-Elevated Dumps Slopes'!$A$11:$BN$18,MATCH(Summary!AZ$1,'RA2-Elevated Dumps Slopes'!$A$9:$BN$9,1),FALSE),0)+IFERROR(VLOOKUP($B21,'RA3-Backfilled Pits'!$A$11:$BN$18,MATCH(Summary!AZ$1,'RA3-Backfilled Pits'!$A$9:$BN$9,1),FALSE),0)+IFERROR(VLOOKUP($B21,'RA4-Tracks_Roads'!$A$11:$BN$18,MATCH(Summary!AZ$1,'RA4-Tracks_Roads'!$A$9:$BN$9,1),FALSE),0)+IFERROR(VLOOKUP($B21,'RA5-ROM'!$A$11:$BN$18,MATCH(Summary!AZ$1,'RA5-ROM'!$A$9:$BN$9,1),FALSE),0)+IFERROR(VLOOKUP($B21,'RA6-CHPP'!$A$11:$BN$18,MATCH(Summary!AZ$1,'RA6-CHPP'!$A$9:$BN$9,1),FALSE),0)+IFERROR(VLOOKUP($B21,'RA7-Mine Infrastructure Area'!$A$11:$BN$18,MATCH(Summary!AZ$1,'RA7-Mine Infrastructure Area'!$A$9:$BN$9,1),FALSE),0)+IFERROR(VLOOKUP($B21,'RA8-Water Management Structures'!$A$11:$BN$18,MATCH(Summary!AZ$1,'RA8-Water Management Structures'!$A$9:$BN$9,1),FALSE),0)+IFERROR(VLOOKUP($B21,'RA9-Codisposal Upper'!$A$11:$BN$18,MATCH(Summary!AZ$1,'RA9-Codisposal Upper'!$A$9:$BN$9,1),FALSE),0)+IFERROR(VLOOKUP($B21,'RA10-Codisposal Slopes'!$A$11:$BN$18,MATCH(Summary!AZ$1,'RA10-Codisposal Slopes'!$A$9:$BN$9,1),FALSE),0)+IFERROR(VLOOKUP($B21,'IA1-Final Void inc Ramps'!$A$11:$BN$18,MATCH(Summary!AZ$1,'IA1-Final Void inc Ramps'!$A$9:$BN$9,1),FALSE),0)</f>
        <v>569.90300000000002</v>
      </c>
      <c r="BA21" s="51">
        <f>IFERROR(VLOOKUP($B21,'RA1- Elevated Dumps Upper'!$A$11:$BN$18,MATCH(Summary!BA$1,'RA1- Elevated Dumps Upper'!$A$9:$BN$9,1),FALSE),0)+IFERROR(VLOOKUP($B21,'RA2-Elevated Dumps Slopes'!$A$11:$BN$18,MATCH(Summary!BA$1,'RA2-Elevated Dumps Slopes'!$A$9:$BN$9,1),FALSE),0)+IFERROR(VLOOKUP($B21,'RA3-Backfilled Pits'!$A$11:$BN$18,MATCH(Summary!BA$1,'RA3-Backfilled Pits'!$A$9:$BN$9,1),FALSE),0)+IFERROR(VLOOKUP($B21,'RA4-Tracks_Roads'!$A$11:$BN$18,MATCH(Summary!BA$1,'RA4-Tracks_Roads'!$A$9:$BN$9,1),FALSE),0)+IFERROR(VLOOKUP($B21,'RA5-ROM'!$A$11:$BN$18,MATCH(Summary!BA$1,'RA5-ROM'!$A$9:$BN$9,1),FALSE),0)+IFERROR(VLOOKUP($B21,'RA6-CHPP'!$A$11:$BN$18,MATCH(Summary!BA$1,'RA6-CHPP'!$A$9:$BN$9,1),FALSE),0)+IFERROR(VLOOKUP($B21,'RA7-Mine Infrastructure Area'!$A$11:$BN$18,MATCH(Summary!BA$1,'RA7-Mine Infrastructure Area'!$A$9:$BN$9,1),FALSE),0)+IFERROR(VLOOKUP($B21,'RA8-Water Management Structures'!$A$11:$BN$18,MATCH(Summary!BA$1,'RA8-Water Management Structures'!$A$9:$BN$9,1),FALSE),0)+IFERROR(VLOOKUP($B21,'RA9-Codisposal Upper'!$A$11:$BN$18,MATCH(Summary!BA$1,'RA9-Codisposal Upper'!$A$9:$BN$9,1),FALSE),0)+IFERROR(VLOOKUP($B21,'RA10-Codisposal Slopes'!$A$11:$BN$18,MATCH(Summary!BA$1,'RA10-Codisposal Slopes'!$A$9:$BN$9,1),FALSE),0)+IFERROR(VLOOKUP($B21,'IA1-Final Void inc Ramps'!$A$11:$BN$18,MATCH(Summary!BA$1,'IA1-Final Void inc Ramps'!$A$9:$BN$9,1),FALSE),0)</f>
        <v>569.90300000000002</v>
      </c>
      <c r="BB21" s="51">
        <f>IFERROR(VLOOKUP($B21,'RA1- Elevated Dumps Upper'!$A$11:$BN$18,MATCH(Summary!BB$1,'RA1- Elevated Dumps Upper'!$A$9:$BN$9,1),FALSE),0)+IFERROR(VLOOKUP($B21,'RA2-Elevated Dumps Slopes'!$A$11:$BN$18,MATCH(Summary!BB$1,'RA2-Elevated Dumps Slopes'!$A$9:$BN$9,1),FALSE),0)+IFERROR(VLOOKUP($B21,'RA3-Backfilled Pits'!$A$11:$BN$18,MATCH(Summary!BB$1,'RA3-Backfilled Pits'!$A$9:$BN$9,1),FALSE),0)+IFERROR(VLOOKUP($B21,'RA4-Tracks_Roads'!$A$11:$BN$18,MATCH(Summary!BB$1,'RA4-Tracks_Roads'!$A$9:$BN$9,1),FALSE),0)+IFERROR(VLOOKUP($B21,'RA5-ROM'!$A$11:$BN$18,MATCH(Summary!BB$1,'RA5-ROM'!$A$9:$BN$9,1),FALSE),0)+IFERROR(VLOOKUP($B21,'RA6-CHPP'!$A$11:$BN$18,MATCH(Summary!BB$1,'RA6-CHPP'!$A$9:$BN$9,1),FALSE),0)+IFERROR(VLOOKUP($B21,'RA7-Mine Infrastructure Area'!$A$11:$BN$18,MATCH(Summary!BB$1,'RA7-Mine Infrastructure Area'!$A$9:$BN$9,1),FALSE),0)+IFERROR(VLOOKUP($B21,'RA8-Water Management Structures'!$A$11:$BN$18,MATCH(Summary!BB$1,'RA8-Water Management Structures'!$A$9:$BN$9,1),FALSE),0)+IFERROR(VLOOKUP($B21,'RA9-Codisposal Upper'!$A$11:$BN$18,MATCH(Summary!BB$1,'RA9-Codisposal Upper'!$A$9:$BN$9,1),FALSE),0)+IFERROR(VLOOKUP($B21,'RA10-Codisposal Slopes'!$A$11:$BN$18,MATCH(Summary!BB$1,'RA10-Codisposal Slopes'!$A$9:$BN$9,1),FALSE),0)+IFERROR(VLOOKUP($B21,'IA1-Final Void inc Ramps'!$A$11:$BN$18,MATCH(Summary!BB$1,'IA1-Final Void inc Ramps'!$A$9:$BN$9,1),FALSE),0)</f>
        <v>569.90300000000002</v>
      </c>
      <c r="BC21" s="51">
        <f>IFERROR(VLOOKUP($B21,'RA1- Elevated Dumps Upper'!$A$11:$BN$18,MATCH(Summary!BC$1,'RA1- Elevated Dumps Upper'!$A$9:$BN$9,1),FALSE),0)+IFERROR(VLOOKUP($B21,'RA2-Elevated Dumps Slopes'!$A$11:$BN$18,MATCH(Summary!BC$1,'RA2-Elevated Dumps Slopes'!$A$9:$BN$9,1),FALSE),0)+IFERROR(VLOOKUP($B21,'RA3-Backfilled Pits'!$A$11:$BN$18,MATCH(Summary!BC$1,'RA3-Backfilled Pits'!$A$9:$BN$9,1),FALSE),0)+IFERROR(VLOOKUP($B21,'RA4-Tracks_Roads'!$A$11:$BN$18,MATCH(Summary!BC$1,'RA4-Tracks_Roads'!$A$9:$BN$9,1),FALSE),0)+IFERROR(VLOOKUP($B21,'RA5-ROM'!$A$11:$BN$18,MATCH(Summary!BC$1,'RA5-ROM'!$A$9:$BN$9,1),FALSE),0)+IFERROR(VLOOKUP($B21,'RA6-CHPP'!$A$11:$BN$18,MATCH(Summary!BC$1,'RA6-CHPP'!$A$9:$BN$9,1),FALSE),0)+IFERROR(VLOOKUP($B21,'RA7-Mine Infrastructure Area'!$A$11:$BN$18,MATCH(Summary!BC$1,'RA7-Mine Infrastructure Area'!$A$9:$BN$9,1),FALSE),0)+IFERROR(VLOOKUP($B21,'RA8-Water Management Structures'!$A$11:$BN$18,MATCH(Summary!BC$1,'RA8-Water Management Structures'!$A$9:$BN$9,1),FALSE),0)+IFERROR(VLOOKUP($B21,'RA9-Codisposal Upper'!$A$11:$BN$18,MATCH(Summary!BC$1,'RA9-Codisposal Upper'!$A$9:$BN$9,1),FALSE),0)+IFERROR(VLOOKUP($B21,'RA10-Codisposal Slopes'!$A$11:$BN$18,MATCH(Summary!BC$1,'RA10-Codisposal Slopes'!$A$9:$BN$9,1),FALSE),0)+IFERROR(VLOOKUP($B21,'IA1-Final Void inc Ramps'!$A$11:$BN$18,MATCH(Summary!BC$1,'IA1-Final Void inc Ramps'!$A$9:$BN$9,1),FALSE),0)</f>
        <v>569.90300000000002</v>
      </c>
      <c r="BD21" s="51">
        <f>IFERROR(VLOOKUP($B21,'RA1- Elevated Dumps Upper'!$A$11:$BN$18,MATCH(Summary!BD$1,'RA1- Elevated Dumps Upper'!$A$9:$BN$9,1),FALSE),0)+IFERROR(VLOOKUP($B21,'RA2-Elevated Dumps Slopes'!$A$11:$BN$18,MATCH(Summary!BD$1,'RA2-Elevated Dumps Slopes'!$A$9:$BN$9,1),FALSE),0)+IFERROR(VLOOKUP($B21,'RA3-Backfilled Pits'!$A$11:$BN$18,MATCH(Summary!BD$1,'RA3-Backfilled Pits'!$A$9:$BN$9,1),FALSE),0)+IFERROR(VLOOKUP($B21,'RA4-Tracks_Roads'!$A$11:$BN$18,MATCH(Summary!BD$1,'RA4-Tracks_Roads'!$A$9:$BN$9,1),FALSE),0)+IFERROR(VLOOKUP($B21,'RA5-ROM'!$A$11:$BN$18,MATCH(Summary!BD$1,'RA5-ROM'!$A$9:$BN$9,1),FALSE),0)+IFERROR(VLOOKUP($B21,'RA6-CHPP'!$A$11:$BN$18,MATCH(Summary!BD$1,'RA6-CHPP'!$A$9:$BN$9,1),FALSE),0)+IFERROR(VLOOKUP($B21,'RA7-Mine Infrastructure Area'!$A$11:$BN$18,MATCH(Summary!BD$1,'RA7-Mine Infrastructure Area'!$A$9:$BN$9,1),FALSE),0)+IFERROR(VLOOKUP($B21,'RA8-Water Management Structures'!$A$11:$BN$18,MATCH(Summary!BD$1,'RA8-Water Management Structures'!$A$9:$BN$9,1),FALSE),0)+IFERROR(VLOOKUP($B21,'RA9-Codisposal Upper'!$A$11:$BN$18,MATCH(Summary!BD$1,'RA9-Codisposal Upper'!$A$9:$BN$9,1),FALSE),0)+IFERROR(VLOOKUP($B21,'RA10-Codisposal Slopes'!$A$11:$BN$18,MATCH(Summary!BD$1,'RA10-Codisposal Slopes'!$A$9:$BN$9,1),FALSE),0)+IFERROR(VLOOKUP($B21,'IA1-Final Void inc Ramps'!$A$11:$BN$18,MATCH(Summary!BD$1,'IA1-Final Void inc Ramps'!$A$9:$BN$9,1),FALSE),0)</f>
        <v>569.90300000000002</v>
      </c>
      <c r="BE21" s="51">
        <f>IFERROR(VLOOKUP($B21,'RA1- Elevated Dumps Upper'!$A$11:$BN$18,MATCH(Summary!BE$1,'RA1- Elevated Dumps Upper'!$A$9:$BN$9,1),FALSE),0)+IFERROR(VLOOKUP($B21,'RA2-Elevated Dumps Slopes'!$A$11:$BN$18,MATCH(Summary!BE$1,'RA2-Elevated Dumps Slopes'!$A$9:$BN$9,1),FALSE),0)+IFERROR(VLOOKUP($B21,'RA3-Backfilled Pits'!$A$11:$BN$18,MATCH(Summary!BE$1,'RA3-Backfilled Pits'!$A$9:$BN$9,1),FALSE),0)+IFERROR(VLOOKUP($B21,'RA4-Tracks_Roads'!$A$11:$BN$18,MATCH(Summary!BE$1,'RA4-Tracks_Roads'!$A$9:$BN$9,1),FALSE),0)+IFERROR(VLOOKUP($B21,'RA5-ROM'!$A$11:$BN$18,MATCH(Summary!BE$1,'RA5-ROM'!$A$9:$BN$9,1),FALSE),0)+IFERROR(VLOOKUP($B21,'RA6-CHPP'!$A$11:$BN$18,MATCH(Summary!BE$1,'RA6-CHPP'!$A$9:$BN$9,1),FALSE),0)+IFERROR(VLOOKUP($B21,'RA7-Mine Infrastructure Area'!$A$11:$BN$18,MATCH(Summary!BE$1,'RA7-Mine Infrastructure Area'!$A$9:$BN$9,1),FALSE),0)+IFERROR(VLOOKUP($B21,'RA8-Water Management Structures'!$A$11:$BN$18,MATCH(Summary!BE$1,'RA8-Water Management Structures'!$A$9:$BN$9,1),FALSE),0)+IFERROR(VLOOKUP($B21,'RA9-Codisposal Upper'!$A$11:$BN$18,MATCH(Summary!BE$1,'RA9-Codisposal Upper'!$A$9:$BN$9,1),FALSE),0)+IFERROR(VLOOKUP($B21,'RA10-Codisposal Slopes'!$A$11:$BN$18,MATCH(Summary!BE$1,'RA10-Codisposal Slopes'!$A$9:$BN$9,1),FALSE),0)+IFERROR(VLOOKUP($B21,'IA1-Final Void inc Ramps'!$A$11:$BN$18,MATCH(Summary!BE$1,'IA1-Final Void inc Ramps'!$A$9:$BN$9,1),FALSE),0)</f>
        <v>569.90300000000002</v>
      </c>
      <c r="BF21" s="51">
        <f>IFERROR(VLOOKUP($B21,'RA1- Elevated Dumps Upper'!$A$11:$BN$18,MATCH(Summary!BF$1,'RA1- Elevated Dumps Upper'!$A$9:$BN$9,1),FALSE),0)+IFERROR(VLOOKUP($B21,'RA2-Elevated Dumps Slopes'!$A$11:$BN$18,MATCH(Summary!BF$1,'RA2-Elevated Dumps Slopes'!$A$9:$BN$9,1),FALSE),0)+IFERROR(VLOOKUP($B21,'RA3-Backfilled Pits'!$A$11:$BN$18,MATCH(Summary!BF$1,'RA3-Backfilled Pits'!$A$9:$BN$9,1),FALSE),0)+IFERROR(VLOOKUP($B21,'RA4-Tracks_Roads'!$A$11:$BN$18,MATCH(Summary!BF$1,'RA4-Tracks_Roads'!$A$9:$BN$9,1),FALSE),0)+IFERROR(VLOOKUP($B21,'RA5-ROM'!$A$11:$BN$18,MATCH(Summary!BF$1,'RA5-ROM'!$A$9:$BN$9,1),FALSE),0)+IFERROR(VLOOKUP($B21,'RA6-CHPP'!$A$11:$BN$18,MATCH(Summary!BF$1,'RA6-CHPP'!$A$9:$BN$9,1),FALSE),0)+IFERROR(VLOOKUP($B21,'RA7-Mine Infrastructure Area'!$A$11:$BN$18,MATCH(Summary!BF$1,'RA7-Mine Infrastructure Area'!$A$9:$BN$9,1),FALSE),0)+IFERROR(VLOOKUP($B21,'RA8-Water Management Structures'!$A$11:$BN$18,MATCH(Summary!BF$1,'RA8-Water Management Structures'!$A$9:$BN$9,1),FALSE),0)+IFERROR(VLOOKUP($B21,'RA9-Codisposal Upper'!$A$11:$BN$18,MATCH(Summary!BF$1,'RA9-Codisposal Upper'!$A$9:$BN$9,1),FALSE),0)+IFERROR(VLOOKUP($B21,'RA10-Codisposal Slopes'!$A$11:$BN$18,MATCH(Summary!BF$1,'RA10-Codisposal Slopes'!$A$9:$BN$9,1),FALSE),0)+IFERROR(VLOOKUP($B21,'IA1-Final Void inc Ramps'!$A$11:$BN$18,MATCH(Summary!BF$1,'IA1-Final Void inc Ramps'!$A$9:$BN$9,1),FALSE),0)</f>
        <v>569.90300000000002</v>
      </c>
      <c r="BG21" s="51">
        <f>IFERROR(VLOOKUP($B21,'RA1- Elevated Dumps Upper'!$A$11:$BN$18,MATCH(Summary!BG$1,'RA1- Elevated Dumps Upper'!$A$9:$BN$9,1),FALSE),0)+IFERROR(VLOOKUP($B21,'RA2-Elevated Dumps Slopes'!$A$11:$BN$18,MATCH(Summary!BG$1,'RA2-Elevated Dumps Slopes'!$A$9:$BN$9,1),FALSE),0)+IFERROR(VLOOKUP($B21,'RA3-Backfilled Pits'!$A$11:$BN$18,MATCH(Summary!BG$1,'RA3-Backfilled Pits'!$A$9:$BN$9,1),FALSE),0)+IFERROR(VLOOKUP($B21,'RA4-Tracks_Roads'!$A$11:$BN$18,MATCH(Summary!BG$1,'RA4-Tracks_Roads'!$A$9:$BN$9,1),FALSE),0)+IFERROR(VLOOKUP($B21,'RA5-ROM'!$A$11:$BN$18,MATCH(Summary!BG$1,'RA5-ROM'!$A$9:$BN$9,1),FALSE),0)+IFERROR(VLOOKUP($B21,'RA6-CHPP'!$A$11:$BN$18,MATCH(Summary!BG$1,'RA6-CHPP'!$A$9:$BN$9,1),FALSE),0)+IFERROR(VLOOKUP($B21,'RA7-Mine Infrastructure Area'!$A$11:$BN$18,MATCH(Summary!BG$1,'RA7-Mine Infrastructure Area'!$A$9:$BN$9,1),FALSE),0)+IFERROR(VLOOKUP($B21,'RA8-Water Management Structures'!$A$11:$BN$18,MATCH(Summary!BG$1,'RA8-Water Management Structures'!$A$9:$BN$9,1),FALSE),0)+IFERROR(VLOOKUP($B21,'RA9-Codisposal Upper'!$A$11:$BN$18,MATCH(Summary!BG$1,'RA9-Codisposal Upper'!$A$9:$BN$9,1),FALSE),0)+IFERROR(VLOOKUP($B21,'RA10-Codisposal Slopes'!$A$11:$BN$18,MATCH(Summary!BG$1,'RA10-Codisposal Slopes'!$A$9:$BN$9,1),FALSE),0)+IFERROR(VLOOKUP($B21,'IA1-Final Void inc Ramps'!$A$11:$BN$18,MATCH(Summary!BG$1,'IA1-Final Void inc Ramps'!$A$9:$BN$9,1),FALSE),0)</f>
        <v>569.90300000000002</v>
      </c>
      <c r="BH21" s="51">
        <f>IFERROR(VLOOKUP($B21,'RA1- Elevated Dumps Upper'!$A$11:$BN$18,MATCH(Summary!BH$1,'RA1- Elevated Dumps Upper'!$A$9:$BN$9,1),FALSE),0)+IFERROR(VLOOKUP($B21,'RA2-Elevated Dumps Slopes'!$A$11:$BN$18,MATCH(Summary!BH$1,'RA2-Elevated Dumps Slopes'!$A$9:$BN$9,1),FALSE),0)+IFERROR(VLOOKUP($B21,'RA3-Backfilled Pits'!$A$11:$BN$18,MATCH(Summary!BH$1,'RA3-Backfilled Pits'!$A$9:$BN$9,1),FALSE),0)+IFERROR(VLOOKUP($B21,'RA4-Tracks_Roads'!$A$11:$BN$18,MATCH(Summary!BH$1,'RA4-Tracks_Roads'!$A$9:$BN$9,1),FALSE),0)+IFERROR(VLOOKUP($B21,'RA5-ROM'!$A$11:$BN$18,MATCH(Summary!BH$1,'RA5-ROM'!$A$9:$BN$9,1),FALSE),0)+IFERROR(VLOOKUP($B21,'RA6-CHPP'!$A$11:$BN$18,MATCH(Summary!BH$1,'RA6-CHPP'!$A$9:$BN$9,1),FALSE),0)+IFERROR(VLOOKUP($B21,'RA7-Mine Infrastructure Area'!$A$11:$BN$18,MATCH(Summary!BH$1,'RA7-Mine Infrastructure Area'!$A$9:$BN$9,1),FALSE),0)+IFERROR(VLOOKUP($B21,'RA8-Water Management Structures'!$A$11:$BN$18,MATCH(Summary!BH$1,'RA8-Water Management Structures'!$A$9:$BN$9,1),FALSE),0)+IFERROR(VLOOKUP($B21,'RA9-Codisposal Upper'!$A$11:$BN$18,MATCH(Summary!BH$1,'RA9-Codisposal Upper'!$A$9:$BN$9,1),FALSE),0)+IFERROR(VLOOKUP($B21,'RA10-Codisposal Slopes'!$A$11:$BN$18,MATCH(Summary!BH$1,'RA10-Codisposal Slopes'!$A$9:$BN$9,1),FALSE),0)+IFERROR(VLOOKUP($B21,'IA1-Final Void inc Ramps'!$A$11:$BN$18,MATCH(Summary!BH$1,'IA1-Final Void inc Ramps'!$A$9:$BN$9,1),FALSE),0)</f>
        <v>569.90300000000002</v>
      </c>
      <c r="BI21" s="51">
        <f>IFERROR(VLOOKUP($B21,'RA1- Elevated Dumps Upper'!$A$11:$BN$18,MATCH(Summary!BI$1,'RA1- Elevated Dumps Upper'!$A$9:$BN$9,1),FALSE),0)+IFERROR(VLOOKUP($B21,'RA2-Elevated Dumps Slopes'!$A$11:$BN$18,MATCH(Summary!BI$1,'RA2-Elevated Dumps Slopes'!$A$9:$BN$9,1),FALSE),0)+IFERROR(VLOOKUP($B21,'RA3-Backfilled Pits'!$A$11:$BN$18,MATCH(Summary!BI$1,'RA3-Backfilled Pits'!$A$9:$BN$9,1),FALSE),0)+IFERROR(VLOOKUP($B21,'RA4-Tracks_Roads'!$A$11:$BN$18,MATCH(Summary!BI$1,'RA4-Tracks_Roads'!$A$9:$BN$9,1),FALSE),0)+IFERROR(VLOOKUP($B21,'RA5-ROM'!$A$11:$BN$18,MATCH(Summary!BI$1,'RA5-ROM'!$A$9:$BN$9,1),FALSE),0)+IFERROR(VLOOKUP($B21,'RA6-CHPP'!$A$11:$BN$18,MATCH(Summary!BI$1,'RA6-CHPP'!$A$9:$BN$9,1),FALSE),0)+IFERROR(VLOOKUP($B21,'RA7-Mine Infrastructure Area'!$A$11:$BN$18,MATCH(Summary!BI$1,'RA7-Mine Infrastructure Area'!$A$9:$BN$9,1),FALSE),0)+IFERROR(VLOOKUP($B21,'RA8-Water Management Structures'!$A$11:$BN$18,MATCH(Summary!BI$1,'RA8-Water Management Structures'!$A$9:$BN$9,1),FALSE),0)+IFERROR(VLOOKUP($B21,'RA9-Codisposal Upper'!$A$11:$BN$18,MATCH(Summary!BI$1,'RA9-Codisposal Upper'!$A$9:$BN$9,1),FALSE),0)+IFERROR(VLOOKUP($B21,'RA10-Codisposal Slopes'!$A$11:$BN$18,MATCH(Summary!BI$1,'RA10-Codisposal Slopes'!$A$9:$BN$9,1),FALSE),0)+IFERROR(VLOOKUP($B21,'IA1-Final Void inc Ramps'!$A$11:$BN$18,MATCH(Summary!BI$1,'IA1-Final Void inc Ramps'!$A$9:$BN$9,1),FALSE),0)</f>
        <v>569.90300000000002</v>
      </c>
      <c r="BJ21" s="51">
        <f>IFERROR(VLOOKUP($B21,'RA1- Elevated Dumps Upper'!$A$11:$BN$18,MATCH(Summary!BJ$1,'RA1- Elevated Dumps Upper'!$A$9:$BN$9,1),FALSE),0)+IFERROR(VLOOKUP($B21,'RA2-Elevated Dumps Slopes'!$A$11:$BN$18,MATCH(Summary!BJ$1,'RA2-Elevated Dumps Slopes'!$A$9:$BN$9,1),FALSE),0)+IFERROR(VLOOKUP($B21,'RA3-Backfilled Pits'!$A$11:$BN$18,MATCH(Summary!BJ$1,'RA3-Backfilled Pits'!$A$9:$BN$9,1),FALSE),0)+IFERROR(VLOOKUP($B21,'RA4-Tracks_Roads'!$A$11:$BN$18,MATCH(Summary!BJ$1,'RA4-Tracks_Roads'!$A$9:$BN$9,1),FALSE),0)+IFERROR(VLOOKUP($B21,'RA5-ROM'!$A$11:$BN$18,MATCH(Summary!BJ$1,'RA5-ROM'!$A$9:$BN$9,1),FALSE),0)+IFERROR(VLOOKUP($B21,'RA6-CHPP'!$A$11:$BN$18,MATCH(Summary!BJ$1,'RA6-CHPP'!$A$9:$BN$9,1),FALSE),0)+IFERROR(VLOOKUP($B21,'RA7-Mine Infrastructure Area'!$A$11:$BN$18,MATCH(Summary!BJ$1,'RA7-Mine Infrastructure Area'!$A$9:$BN$9,1),FALSE),0)+IFERROR(VLOOKUP($B21,'RA8-Water Management Structures'!$A$11:$BN$18,MATCH(Summary!BJ$1,'RA8-Water Management Structures'!$A$9:$BN$9,1),FALSE),0)+IFERROR(VLOOKUP($B21,'RA9-Codisposal Upper'!$A$11:$BN$18,MATCH(Summary!BJ$1,'RA9-Codisposal Upper'!$A$9:$BN$9,1),FALSE),0)+IFERROR(VLOOKUP($B21,'RA10-Codisposal Slopes'!$A$11:$BN$18,MATCH(Summary!BJ$1,'RA10-Codisposal Slopes'!$A$9:$BN$9,1),FALSE),0)+IFERROR(VLOOKUP($B21,'IA1-Final Void inc Ramps'!$A$11:$BN$18,MATCH(Summary!BJ$1,'IA1-Final Void inc Ramps'!$A$9:$BN$9,1),FALSE),0)</f>
        <v>569.90300000000002</v>
      </c>
      <c r="BK21" s="51">
        <f>IFERROR(VLOOKUP($B21,'RA1- Elevated Dumps Upper'!$A$11:$BN$18,MATCH(Summary!BK$1,'RA1- Elevated Dumps Upper'!$A$9:$BN$9,1),FALSE),0)+IFERROR(VLOOKUP($B21,'RA2-Elevated Dumps Slopes'!$A$11:$BN$18,MATCH(Summary!BK$1,'RA2-Elevated Dumps Slopes'!$A$9:$BN$9,1),FALSE),0)+IFERROR(VLOOKUP($B21,'RA3-Backfilled Pits'!$A$11:$BN$18,MATCH(Summary!BK$1,'RA3-Backfilled Pits'!$A$9:$BN$9,1),FALSE),0)+IFERROR(VLOOKUP($B21,'RA4-Tracks_Roads'!$A$11:$BN$18,MATCH(Summary!BK$1,'RA4-Tracks_Roads'!$A$9:$BN$9,1),FALSE),0)+IFERROR(VLOOKUP($B21,'RA5-ROM'!$A$11:$BN$18,MATCH(Summary!BK$1,'RA5-ROM'!$A$9:$BN$9,1),FALSE),0)+IFERROR(VLOOKUP($B21,'RA6-CHPP'!$A$11:$BN$18,MATCH(Summary!BK$1,'RA6-CHPP'!$A$9:$BN$9,1),FALSE),0)+IFERROR(VLOOKUP($B21,'RA7-Mine Infrastructure Area'!$A$11:$BN$18,MATCH(Summary!BK$1,'RA7-Mine Infrastructure Area'!$A$9:$BN$9,1),FALSE),0)+IFERROR(VLOOKUP($B21,'RA8-Water Management Structures'!$A$11:$BN$18,MATCH(Summary!BK$1,'RA8-Water Management Structures'!$A$9:$BN$9,1),FALSE),0)+IFERROR(VLOOKUP($B21,'RA9-Codisposal Upper'!$A$11:$BN$18,MATCH(Summary!BK$1,'RA9-Codisposal Upper'!$A$9:$BN$9,1),FALSE),0)+IFERROR(VLOOKUP($B21,'RA10-Codisposal Slopes'!$A$11:$BN$18,MATCH(Summary!BK$1,'RA10-Codisposal Slopes'!$A$9:$BN$9,1),FALSE),0)+IFERROR(VLOOKUP($B21,'IA1-Final Void inc Ramps'!$A$11:$BN$18,MATCH(Summary!BK$1,'IA1-Final Void inc Ramps'!$A$9:$BN$9,1),FALSE),0)</f>
        <v>569.90300000000002</v>
      </c>
      <c r="BL21" s="51">
        <f>IFERROR(VLOOKUP($B21,'RA1- Elevated Dumps Upper'!$A$11:$BN$18,MATCH(Summary!BL$1,'RA1- Elevated Dumps Upper'!$A$9:$BN$9,1),FALSE),0)+IFERROR(VLOOKUP($B21,'RA2-Elevated Dumps Slopes'!$A$11:$BN$18,MATCH(Summary!BL$1,'RA2-Elevated Dumps Slopes'!$A$9:$BN$9,1),FALSE),0)+IFERROR(VLOOKUP($B21,'RA3-Backfilled Pits'!$A$11:$BN$18,MATCH(Summary!BL$1,'RA3-Backfilled Pits'!$A$9:$BN$9,1),FALSE),0)+IFERROR(VLOOKUP($B21,'RA4-Tracks_Roads'!$A$11:$BN$18,MATCH(Summary!BL$1,'RA4-Tracks_Roads'!$A$9:$BN$9,1),FALSE),0)+IFERROR(VLOOKUP($B21,'RA5-ROM'!$A$11:$BN$18,MATCH(Summary!BL$1,'RA5-ROM'!$A$9:$BN$9,1),FALSE),0)+IFERROR(VLOOKUP($B21,'RA6-CHPP'!$A$11:$BN$18,MATCH(Summary!BL$1,'RA6-CHPP'!$A$9:$BN$9,1),FALSE),0)+IFERROR(VLOOKUP($B21,'RA7-Mine Infrastructure Area'!$A$11:$BN$18,MATCH(Summary!BL$1,'RA7-Mine Infrastructure Area'!$A$9:$BN$9,1),FALSE),0)+IFERROR(VLOOKUP($B21,'RA8-Water Management Structures'!$A$11:$BN$18,MATCH(Summary!BL$1,'RA8-Water Management Structures'!$A$9:$BN$9,1),FALSE),0)+IFERROR(VLOOKUP($B21,'RA9-Codisposal Upper'!$A$11:$BN$18,MATCH(Summary!BL$1,'RA9-Codisposal Upper'!$A$9:$BN$9,1),FALSE),0)+IFERROR(VLOOKUP($B21,'RA10-Codisposal Slopes'!$A$11:$BN$18,MATCH(Summary!BL$1,'RA10-Codisposal Slopes'!$A$9:$BN$9,1),FALSE),0)+IFERROR(VLOOKUP($B21,'IA1-Final Void inc Ramps'!$A$11:$BN$18,MATCH(Summary!BL$1,'IA1-Final Void inc Ramps'!$A$9:$BN$9,1),FALSE),0)</f>
        <v>569.90300000000002</v>
      </c>
      <c r="BM21" s="51">
        <f>IFERROR(VLOOKUP($B21,'RA1- Elevated Dumps Upper'!$A$11:$BN$18,MATCH(Summary!BM$1,'RA1- Elevated Dumps Upper'!$A$9:$BN$9,1),FALSE),0)+IFERROR(VLOOKUP($B21,'RA2-Elevated Dumps Slopes'!$A$11:$BN$18,MATCH(Summary!BM$1,'RA2-Elevated Dumps Slopes'!$A$9:$BN$9,1),FALSE),0)+IFERROR(VLOOKUP($B21,'RA3-Backfilled Pits'!$A$11:$BN$18,MATCH(Summary!BM$1,'RA3-Backfilled Pits'!$A$9:$BN$9,1),FALSE),0)+IFERROR(VLOOKUP($B21,'RA4-Tracks_Roads'!$A$11:$BN$18,MATCH(Summary!BM$1,'RA4-Tracks_Roads'!$A$9:$BN$9,1),FALSE),0)+IFERROR(VLOOKUP($B21,'RA5-ROM'!$A$11:$BN$18,MATCH(Summary!BM$1,'RA5-ROM'!$A$9:$BN$9,1),FALSE),0)+IFERROR(VLOOKUP($B21,'RA6-CHPP'!$A$11:$BN$18,MATCH(Summary!BM$1,'RA6-CHPP'!$A$9:$BN$9,1),FALSE),0)+IFERROR(VLOOKUP($B21,'RA7-Mine Infrastructure Area'!$A$11:$BN$18,MATCH(Summary!BM$1,'RA7-Mine Infrastructure Area'!$A$9:$BN$9,1),FALSE),0)+IFERROR(VLOOKUP($B21,'RA8-Water Management Structures'!$A$11:$BN$18,MATCH(Summary!BM$1,'RA8-Water Management Structures'!$A$9:$BN$9,1),FALSE),0)+IFERROR(VLOOKUP($B21,'RA9-Codisposal Upper'!$A$11:$BN$18,MATCH(Summary!BM$1,'RA9-Codisposal Upper'!$A$9:$BN$9,1),FALSE),0)+IFERROR(VLOOKUP($B21,'RA10-Codisposal Slopes'!$A$11:$BN$18,MATCH(Summary!BM$1,'RA10-Codisposal Slopes'!$A$9:$BN$9,1),FALSE),0)+IFERROR(VLOOKUP($B21,'IA1-Final Void inc Ramps'!$A$11:$BN$18,MATCH(Summary!BM$1,'IA1-Final Void inc Ramps'!$A$9:$BN$9,1),FALSE),0)</f>
        <v>569.90300000000002</v>
      </c>
      <c r="BN21" s="51">
        <f>IFERROR(VLOOKUP($B21,'RA1- Elevated Dumps Upper'!$A$11:$BN$18,MATCH(Summary!BN$1,'RA1- Elevated Dumps Upper'!$A$9:$BN$9,1),FALSE),0)+IFERROR(VLOOKUP($B21,'RA2-Elevated Dumps Slopes'!$A$11:$BN$18,MATCH(Summary!BN$1,'RA2-Elevated Dumps Slopes'!$A$9:$BN$9,1),FALSE),0)+IFERROR(VLOOKUP($B21,'RA3-Backfilled Pits'!$A$11:$BN$18,MATCH(Summary!BN$1,'RA3-Backfilled Pits'!$A$9:$BN$9,1),FALSE),0)+IFERROR(VLOOKUP($B21,'RA4-Tracks_Roads'!$A$11:$BN$18,MATCH(Summary!BN$1,'RA4-Tracks_Roads'!$A$9:$BN$9,1),FALSE),0)+IFERROR(VLOOKUP($B21,'RA5-ROM'!$A$11:$BN$18,MATCH(Summary!BN$1,'RA5-ROM'!$A$9:$BN$9,1),FALSE),0)+IFERROR(VLOOKUP($B21,'RA6-CHPP'!$A$11:$BN$18,MATCH(Summary!BN$1,'RA6-CHPP'!$A$9:$BN$9,1),FALSE),0)+IFERROR(VLOOKUP($B21,'RA7-Mine Infrastructure Area'!$A$11:$BN$18,MATCH(Summary!BN$1,'RA7-Mine Infrastructure Area'!$A$9:$BN$9,1),FALSE),0)+IFERROR(VLOOKUP($B21,'RA8-Water Management Structures'!$A$11:$BN$18,MATCH(Summary!BN$1,'RA8-Water Management Structures'!$A$9:$BN$9,1),FALSE),0)+IFERROR(VLOOKUP($B21,'RA9-Codisposal Upper'!$A$11:$BN$18,MATCH(Summary!BN$1,'RA9-Codisposal Upper'!$A$9:$BN$9,1),FALSE),0)+IFERROR(VLOOKUP($B21,'RA10-Codisposal Slopes'!$A$11:$BN$18,MATCH(Summary!BN$1,'RA10-Codisposal Slopes'!$A$9:$BN$9,1),FALSE),0)+IFERROR(VLOOKUP($B21,'IA1-Final Void inc Ramps'!$A$11:$BN$18,MATCH(Summary!BN$1,'IA1-Final Void inc Ramps'!$A$9:$BN$9,1),FALSE),0)</f>
        <v>569.90300000000002</v>
      </c>
    </row>
    <row r="22" spans="1:66" x14ac:dyDescent="0.35">
      <c r="B22" t="s">
        <v>15</v>
      </c>
      <c r="D22" s="51">
        <f>IFERROR(VLOOKUP($B22,'RA1- Elevated Dumps Upper'!$A$11:$BN$18,MATCH(Summary!D$1,'RA1- Elevated Dumps Upper'!$A$9:$BN$9,1),FALSE),0)+IFERROR(VLOOKUP($B22,'RA2-Elevated Dumps Slopes'!$A$11:$BN$18,MATCH(Summary!D$1,'RA2-Elevated Dumps Slopes'!$A$9:$BN$9,1),FALSE),0)+IFERROR(VLOOKUP($B22,'RA3-Backfilled Pits'!$A$11:$BN$18,MATCH(Summary!D$1,'RA3-Backfilled Pits'!$A$9:$BN$9,1),FALSE),0)+IFERROR(VLOOKUP($B22,'RA4-Tracks_Roads'!$A$11:$BN$18,MATCH(Summary!D$1,'RA4-Tracks_Roads'!$A$9:$BN$9,1),FALSE),0)+IFERROR(VLOOKUP($B22,'RA5-ROM'!$A$11:$BN$18,MATCH(Summary!D$1,'RA5-ROM'!$A$9:$BN$9,1),FALSE),0)+IFERROR(VLOOKUP($B22,'RA6-CHPP'!$A$11:$BN$18,MATCH(Summary!D$1,'RA6-CHPP'!$A$9:$BN$9,1),FALSE),0)+IFERROR(VLOOKUP($B22,'RA7-Mine Infrastructure Area'!$A$11:$BN$18,MATCH(Summary!D$1,'RA7-Mine Infrastructure Area'!$A$9:$BN$9,1),FALSE),0)+IFERROR(VLOOKUP($B22,'RA8-Water Management Structures'!$A$11:$BN$18,MATCH(Summary!D$1,'RA8-Water Management Structures'!$A$9:$BN$9,1),FALSE),0)+IFERROR(VLOOKUP($B22,'RA9-Codisposal Upper'!$A$11:$BN$18,MATCH(Summary!D$1,'RA9-Codisposal Upper'!$A$9:$BN$9,1),FALSE),0)+IFERROR(VLOOKUP($B22,'RA10-Codisposal Slopes'!$A$11:$BN$18,MATCH(Summary!D$1,'RA10-Codisposal Slopes'!$A$9:$BN$9,1),FALSE),0)+IFERROR(VLOOKUP($B22,'IA1-Final Void inc Ramps'!$A$11:$BN$18,MATCH(Summary!D$1,'IA1-Final Void inc Ramps'!$A$9:$BN$9,1),FALSE),0)</f>
        <v>0</v>
      </c>
      <c r="E22" s="51">
        <f>IFERROR(VLOOKUP($B22,'RA1- Elevated Dumps Upper'!$A$11:$BN$18,MATCH(Summary!E$1,'RA1- Elevated Dumps Upper'!$A$9:$BN$9,1),FALSE),0)+IFERROR(VLOOKUP($B22,'RA2-Elevated Dumps Slopes'!$A$11:$BN$18,MATCH(Summary!E$1,'RA2-Elevated Dumps Slopes'!$A$9:$BN$9,1),FALSE),0)+IFERROR(VLOOKUP($B22,'RA3-Backfilled Pits'!$A$11:$BN$18,MATCH(Summary!E$1,'RA3-Backfilled Pits'!$A$9:$BN$9,1),FALSE),0)+IFERROR(VLOOKUP($B22,'RA4-Tracks_Roads'!$A$11:$BN$18,MATCH(Summary!E$1,'RA4-Tracks_Roads'!$A$9:$BN$9,1),FALSE),0)+IFERROR(VLOOKUP($B22,'RA5-ROM'!$A$11:$BN$18,MATCH(Summary!E$1,'RA5-ROM'!$A$9:$BN$9,1),FALSE),0)+IFERROR(VLOOKUP($B22,'RA6-CHPP'!$A$11:$BN$18,MATCH(Summary!E$1,'RA6-CHPP'!$A$9:$BN$9,1),FALSE),0)+IFERROR(VLOOKUP($B22,'RA7-Mine Infrastructure Area'!$A$11:$BN$18,MATCH(Summary!E$1,'RA7-Mine Infrastructure Area'!$A$9:$BN$9,1),FALSE),0)+IFERROR(VLOOKUP($B22,'RA8-Water Management Structures'!$A$11:$BN$18,MATCH(Summary!E$1,'RA8-Water Management Structures'!$A$9:$BN$9,1),FALSE),0)+IFERROR(VLOOKUP($B22,'RA9-Codisposal Upper'!$A$11:$BN$18,MATCH(Summary!E$1,'RA9-Codisposal Upper'!$A$9:$BN$9,1),FALSE),0)+IFERROR(VLOOKUP($B22,'RA10-Codisposal Slopes'!$A$11:$BN$18,MATCH(Summary!E$1,'RA10-Codisposal Slopes'!$A$9:$BN$9,1),FALSE),0)+IFERROR(VLOOKUP($B22,'IA1-Final Void inc Ramps'!$A$11:$BN$18,MATCH(Summary!E$1,'IA1-Final Void inc Ramps'!$A$9:$BN$9,1),FALSE),0)</f>
        <v>0</v>
      </c>
      <c r="F22" s="51">
        <f>IFERROR(VLOOKUP($B22,'RA1- Elevated Dumps Upper'!$A$11:$BN$18,MATCH(Summary!F$1,'RA1- Elevated Dumps Upper'!$A$9:$BN$9,1),FALSE),0)+IFERROR(VLOOKUP($B22,'RA2-Elevated Dumps Slopes'!$A$11:$BN$18,MATCH(Summary!F$1,'RA2-Elevated Dumps Slopes'!$A$9:$BN$9,1),FALSE),0)+IFERROR(VLOOKUP($B22,'RA3-Backfilled Pits'!$A$11:$BN$18,MATCH(Summary!F$1,'RA3-Backfilled Pits'!$A$9:$BN$9,1),FALSE),0)+IFERROR(VLOOKUP($B22,'RA4-Tracks_Roads'!$A$11:$BN$18,MATCH(Summary!F$1,'RA4-Tracks_Roads'!$A$9:$BN$9,1),FALSE),0)+IFERROR(VLOOKUP($B22,'RA5-ROM'!$A$11:$BN$18,MATCH(Summary!F$1,'RA5-ROM'!$A$9:$BN$9,1),FALSE),0)+IFERROR(VLOOKUP($B22,'RA6-CHPP'!$A$11:$BN$18,MATCH(Summary!F$1,'RA6-CHPP'!$A$9:$BN$9,1),FALSE),0)+IFERROR(VLOOKUP($B22,'RA7-Mine Infrastructure Area'!$A$11:$BN$18,MATCH(Summary!F$1,'RA7-Mine Infrastructure Area'!$A$9:$BN$9,1),FALSE),0)+IFERROR(VLOOKUP($B22,'RA8-Water Management Structures'!$A$11:$BN$18,MATCH(Summary!F$1,'RA8-Water Management Structures'!$A$9:$BN$9,1),FALSE),0)+IFERROR(VLOOKUP($B22,'RA9-Codisposal Upper'!$A$11:$BN$18,MATCH(Summary!F$1,'RA9-Codisposal Upper'!$A$9:$BN$9,1),FALSE),0)+IFERROR(VLOOKUP($B22,'RA10-Codisposal Slopes'!$A$11:$BN$18,MATCH(Summary!F$1,'RA10-Codisposal Slopes'!$A$9:$BN$9,1),FALSE),0)+IFERROR(VLOOKUP($B22,'IA1-Final Void inc Ramps'!$A$11:$BN$18,MATCH(Summary!F$1,'IA1-Final Void inc Ramps'!$A$9:$BN$9,1),FALSE),0)</f>
        <v>0</v>
      </c>
      <c r="G22" s="51">
        <f>IFERROR(VLOOKUP($B22,'RA1- Elevated Dumps Upper'!$A$11:$BN$18,MATCH(Summary!G$1,'RA1- Elevated Dumps Upper'!$A$9:$BN$9,1),FALSE),0)+IFERROR(VLOOKUP($B22,'RA2-Elevated Dumps Slopes'!$A$11:$BN$18,MATCH(Summary!G$1,'RA2-Elevated Dumps Slopes'!$A$9:$BN$9,1),FALSE),0)+IFERROR(VLOOKUP($B22,'RA3-Backfilled Pits'!$A$11:$BN$18,MATCH(Summary!G$1,'RA3-Backfilled Pits'!$A$9:$BN$9,1),FALSE),0)+IFERROR(VLOOKUP($B22,'RA4-Tracks_Roads'!$A$11:$BN$18,MATCH(Summary!G$1,'RA4-Tracks_Roads'!$A$9:$BN$9,1),FALSE),0)+IFERROR(VLOOKUP($B22,'RA5-ROM'!$A$11:$BN$18,MATCH(Summary!G$1,'RA5-ROM'!$A$9:$BN$9,1),FALSE),0)+IFERROR(VLOOKUP($B22,'RA6-CHPP'!$A$11:$BN$18,MATCH(Summary!G$1,'RA6-CHPP'!$A$9:$BN$9,1),FALSE),0)+IFERROR(VLOOKUP($B22,'RA7-Mine Infrastructure Area'!$A$11:$BN$18,MATCH(Summary!G$1,'RA7-Mine Infrastructure Area'!$A$9:$BN$9,1),FALSE),0)+IFERROR(VLOOKUP($B22,'RA8-Water Management Structures'!$A$11:$BN$18,MATCH(Summary!G$1,'RA8-Water Management Structures'!$A$9:$BN$9,1),FALSE),0)+IFERROR(VLOOKUP($B22,'RA9-Codisposal Upper'!$A$11:$BN$18,MATCH(Summary!G$1,'RA9-Codisposal Upper'!$A$9:$BN$9,1),FALSE),0)+IFERROR(VLOOKUP($B22,'RA10-Codisposal Slopes'!$A$11:$BN$18,MATCH(Summary!G$1,'RA10-Codisposal Slopes'!$A$9:$BN$9,1),FALSE),0)+IFERROR(VLOOKUP($B22,'IA1-Final Void inc Ramps'!$A$11:$BN$18,MATCH(Summary!G$1,'IA1-Final Void inc Ramps'!$A$9:$BN$9,1),FALSE),0)</f>
        <v>0</v>
      </c>
      <c r="H22" s="51">
        <f>IFERROR(VLOOKUP($B22,'RA1- Elevated Dumps Upper'!$A$11:$BN$18,MATCH(Summary!H$1,'RA1- Elevated Dumps Upper'!$A$9:$BN$9,1),FALSE),0)+IFERROR(VLOOKUP($B22,'RA2-Elevated Dumps Slopes'!$A$11:$BN$18,MATCH(Summary!H$1,'RA2-Elevated Dumps Slopes'!$A$9:$BN$9,1),FALSE),0)+IFERROR(VLOOKUP($B22,'RA3-Backfilled Pits'!$A$11:$BN$18,MATCH(Summary!H$1,'RA3-Backfilled Pits'!$A$9:$BN$9,1),FALSE),0)+IFERROR(VLOOKUP($B22,'RA4-Tracks_Roads'!$A$11:$BN$18,MATCH(Summary!H$1,'RA4-Tracks_Roads'!$A$9:$BN$9,1),FALSE),0)+IFERROR(VLOOKUP($B22,'RA5-ROM'!$A$11:$BN$18,MATCH(Summary!H$1,'RA5-ROM'!$A$9:$BN$9,1),FALSE),0)+IFERROR(VLOOKUP($B22,'RA6-CHPP'!$A$11:$BN$18,MATCH(Summary!H$1,'RA6-CHPP'!$A$9:$BN$9,1),FALSE),0)+IFERROR(VLOOKUP($B22,'RA7-Mine Infrastructure Area'!$A$11:$BN$18,MATCH(Summary!H$1,'RA7-Mine Infrastructure Area'!$A$9:$BN$9,1),FALSE),0)+IFERROR(VLOOKUP($B22,'RA8-Water Management Structures'!$A$11:$BN$18,MATCH(Summary!H$1,'RA8-Water Management Structures'!$A$9:$BN$9,1),FALSE),0)+IFERROR(VLOOKUP($B22,'RA9-Codisposal Upper'!$A$11:$BN$18,MATCH(Summary!H$1,'RA9-Codisposal Upper'!$A$9:$BN$9,1),FALSE),0)+IFERROR(VLOOKUP($B22,'RA10-Codisposal Slopes'!$A$11:$BN$18,MATCH(Summary!H$1,'RA10-Codisposal Slopes'!$A$9:$BN$9,1),FALSE),0)+IFERROR(VLOOKUP($B22,'IA1-Final Void inc Ramps'!$A$11:$BN$18,MATCH(Summary!H$1,'IA1-Final Void inc Ramps'!$A$9:$BN$9,1),FALSE),0)</f>
        <v>0</v>
      </c>
      <c r="I22" s="51">
        <f>IFERROR(VLOOKUP($B22,'RA1- Elevated Dumps Upper'!$A$11:$BN$18,MATCH(Summary!I$1,'RA1- Elevated Dumps Upper'!$A$9:$BN$9,1),FALSE),0)+IFERROR(VLOOKUP($B22,'RA2-Elevated Dumps Slopes'!$A$11:$BN$18,MATCH(Summary!I$1,'RA2-Elevated Dumps Slopes'!$A$9:$BN$9,1),FALSE),0)+IFERROR(VLOOKUP($B22,'RA3-Backfilled Pits'!$A$11:$BN$18,MATCH(Summary!I$1,'RA3-Backfilled Pits'!$A$9:$BN$9,1),FALSE),0)+IFERROR(VLOOKUP($B22,'RA4-Tracks_Roads'!$A$11:$BN$18,MATCH(Summary!I$1,'RA4-Tracks_Roads'!$A$9:$BN$9,1),FALSE),0)+IFERROR(VLOOKUP($B22,'RA5-ROM'!$A$11:$BN$18,MATCH(Summary!I$1,'RA5-ROM'!$A$9:$BN$9,1),FALSE),0)+IFERROR(VLOOKUP($B22,'RA6-CHPP'!$A$11:$BN$18,MATCH(Summary!I$1,'RA6-CHPP'!$A$9:$BN$9,1),FALSE),0)+IFERROR(VLOOKUP($B22,'RA7-Mine Infrastructure Area'!$A$11:$BN$18,MATCH(Summary!I$1,'RA7-Mine Infrastructure Area'!$A$9:$BN$9,1),FALSE),0)+IFERROR(VLOOKUP($B22,'RA8-Water Management Structures'!$A$11:$BN$18,MATCH(Summary!I$1,'RA8-Water Management Structures'!$A$9:$BN$9,1),FALSE),0)+IFERROR(VLOOKUP($B22,'RA9-Codisposal Upper'!$A$11:$BN$18,MATCH(Summary!I$1,'RA9-Codisposal Upper'!$A$9:$BN$9,1),FALSE),0)+IFERROR(VLOOKUP($B22,'RA10-Codisposal Slopes'!$A$11:$BN$18,MATCH(Summary!I$1,'RA10-Codisposal Slopes'!$A$9:$BN$9,1),FALSE),0)+IFERROR(VLOOKUP($B22,'IA1-Final Void inc Ramps'!$A$11:$BN$18,MATCH(Summary!I$1,'IA1-Final Void inc Ramps'!$A$9:$BN$9,1),FALSE),0)</f>
        <v>0</v>
      </c>
      <c r="J22" s="51">
        <f>IFERROR(VLOOKUP($B22,'RA1- Elevated Dumps Upper'!$A$11:$BN$18,MATCH(Summary!J$1,'RA1- Elevated Dumps Upper'!$A$9:$BN$9,1),FALSE),0)+IFERROR(VLOOKUP($B22,'RA2-Elevated Dumps Slopes'!$A$11:$BN$18,MATCH(Summary!J$1,'RA2-Elevated Dumps Slopes'!$A$9:$BN$9,1),FALSE),0)+IFERROR(VLOOKUP($B22,'RA3-Backfilled Pits'!$A$11:$BN$18,MATCH(Summary!J$1,'RA3-Backfilled Pits'!$A$9:$BN$9,1),FALSE),0)+IFERROR(VLOOKUP($B22,'RA4-Tracks_Roads'!$A$11:$BN$18,MATCH(Summary!J$1,'RA4-Tracks_Roads'!$A$9:$BN$9,1),FALSE),0)+IFERROR(VLOOKUP($B22,'RA5-ROM'!$A$11:$BN$18,MATCH(Summary!J$1,'RA5-ROM'!$A$9:$BN$9,1),FALSE),0)+IFERROR(VLOOKUP($B22,'RA6-CHPP'!$A$11:$BN$18,MATCH(Summary!J$1,'RA6-CHPP'!$A$9:$BN$9,1),FALSE),0)+IFERROR(VLOOKUP($B22,'RA7-Mine Infrastructure Area'!$A$11:$BN$18,MATCH(Summary!J$1,'RA7-Mine Infrastructure Area'!$A$9:$BN$9,1),FALSE),0)+IFERROR(VLOOKUP($B22,'RA8-Water Management Structures'!$A$11:$BN$18,MATCH(Summary!J$1,'RA8-Water Management Structures'!$A$9:$BN$9,1),FALSE),0)+IFERROR(VLOOKUP($B22,'RA9-Codisposal Upper'!$A$11:$BN$18,MATCH(Summary!J$1,'RA9-Codisposal Upper'!$A$9:$BN$9,1),FALSE),0)+IFERROR(VLOOKUP($B22,'RA10-Codisposal Slopes'!$A$11:$BN$18,MATCH(Summary!J$1,'RA10-Codisposal Slopes'!$A$9:$BN$9,1),FALSE),0)+IFERROR(VLOOKUP($B22,'IA1-Final Void inc Ramps'!$A$11:$BN$18,MATCH(Summary!J$1,'IA1-Final Void inc Ramps'!$A$9:$BN$9,1),FALSE),0)</f>
        <v>0</v>
      </c>
      <c r="K22" s="51">
        <f>IFERROR(VLOOKUP($B22,'RA1- Elevated Dumps Upper'!$A$11:$BN$18,MATCH(Summary!K$1,'RA1- Elevated Dumps Upper'!$A$9:$BN$9,1),FALSE),0)+IFERROR(VLOOKUP($B22,'RA2-Elevated Dumps Slopes'!$A$11:$BN$18,MATCH(Summary!K$1,'RA2-Elevated Dumps Slopes'!$A$9:$BN$9,1),FALSE),0)+IFERROR(VLOOKUP($B22,'RA3-Backfilled Pits'!$A$11:$BN$18,MATCH(Summary!K$1,'RA3-Backfilled Pits'!$A$9:$BN$9,1),FALSE),0)+IFERROR(VLOOKUP($B22,'RA4-Tracks_Roads'!$A$11:$BN$18,MATCH(Summary!K$1,'RA4-Tracks_Roads'!$A$9:$BN$9,1),FALSE),0)+IFERROR(VLOOKUP($B22,'RA5-ROM'!$A$11:$BN$18,MATCH(Summary!K$1,'RA5-ROM'!$A$9:$BN$9,1),FALSE),0)+IFERROR(VLOOKUP($B22,'RA6-CHPP'!$A$11:$BN$18,MATCH(Summary!K$1,'RA6-CHPP'!$A$9:$BN$9,1),FALSE),0)+IFERROR(VLOOKUP($B22,'RA7-Mine Infrastructure Area'!$A$11:$BN$18,MATCH(Summary!K$1,'RA7-Mine Infrastructure Area'!$A$9:$BN$9,1),FALSE),0)+IFERROR(VLOOKUP($B22,'RA8-Water Management Structures'!$A$11:$BN$18,MATCH(Summary!K$1,'RA8-Water Management Structures'!$A$9:$BN$9,1),FALSE),0)+IFERROR(VLOOKUP($B22,'RA9-Codisposal Upper'!$A$11:$BN$18,MATCH(Summary!K$1,'RA9-Codisposal Upper'!$A$9:$BN$9,1),FALSE),0)+IFERROR(VLOOKUP($B22,'RA10-Codisposal Slopes'!$A$11:$BN$18,MATCH(Summary!K$1,'RA10-Codisposal Slopes'!$A$9:$BN$9,1),FALSE),0)+IFERROR(VLOOKUP($B22,'IA1-Final Void inc Ramps'!$A$11:$BN$18,MATCH(Summary!K$1,'IA1-Final Void inc Ramps'!$A$9:$BN$9,1),FALSE),0)</f>
        <v>0</v>
      </c>
      <c r="L22" s="51">
        <f>IFERROR(VLOOKUP($B22,'RA1- Elevated Dumps Upper'!$A$11:$BN$18,MATCH(Summary!L$1,'RA1- Elevated Dumps Upper'!$A$9:$BN$9,1),FALSE),0)+IFERROR(VLOOKUP($B22,'RA2-Elevated Dumps Slopes'!$A$11:$BN$18,MATCH(Summary!L$1,'RA2-Elevated Dumps Slopes'!$A$9:$BN$9,1),FALSE),0)+IFERROR(VLOOKUP($B22,'RA3-Backfilled Pits'!$A$11:$BN$18,MATCH(Summary!L$1,'RA3-Backfilled Pits'!$A$9:$BN$9,1),FALSE),0)+IFERROR(VLOOKUP($B22,'RA4-Tracks_Roads'!$A$11:$BN$18,MATCH(Summary!L$1,'RA4-Tracks_Roads'!$A$9:$BN$9,1),FALSE),0)+IFERROR(VLOOKUP($B22,'RA5-ROM'!$A$11:$BN$18,MATCH(Summary!L$1,'RA5-ROM'!$A$9:$BN$9,1),FALSE),0)+IFERROR(VLOOKUP($B22,'RA6-CHPP'!$A$11:$BN$18,MATCH(Summary!L$1,'RA6-CHPP'!$A$9:$BN$9,1),FALSE),0)+IFERROR(VLOOKUP($B22,'RA7-Mine Infrastructure Area'!$A$11:$BN$18,MATCH(Summary!L$1,'RA7-Mine Infrastructure Area'!$A$9:$BN$9,1),FALSE),0)+IFERROR(VLOOKUP($B22,'RA8-Water Management Structures'!$A$11:$BN$18,MATCH(Summary!L$1,'RA8-Water Management Structures'!$A$9:$BN$9,1),FALSE),0)+IFERROR(VLOOKUP($B22,'RA9-Codisposal Upper'!$A$11:$BN$18,MATCH(Summary!L$1,'RA9-Codisposal Upper'!$A$9:$BN$9,1),FALSE),0)+IFERROR(VLOOKUP($B22,'RA10-Codisposal Slopes'!$A$11:$BN$18,MATCH(Summary!L$1,'RA10-Codisposal Slopes'!$A$9:$BN$9,1),FALSE),0)+IFERROR(VLOOKUP($B22,'IA1-Final Void inc Ramps'!$A$11:$BN$18,MATCH(Summary!L$1,'IA1-Final Void inc Ramps'!$A$9:$BN$9,1),FALSE),0)</f>
        <v>0</v>
      </c>
      <c r="M22" s="51">
        <f>IFERROR(VLOOKUP($B22,'RA1- Elevated Dumps Upper'!$A$11:$BN$18,MATCH(Summary!M$1,'RA1- Elevated Dumps Upper'!$A$9:$BN$9,1),FALSE),0)+IFERROR(VLOOKUP($B22,'RA2-Elevated Dumps Slopes'!$A$11:$BN$18,MATCH(Summary!M$1,'RA2-Elevated Dumps Slopes'!$A$9:$BN$9,1),FALSE),0)+IFERROR(VLOOKUP($B22,'RA3-Backfilled Pits'!$A$11:$BN$18,MATCH(Summary!M$1,'RA3-Backfilled Pits'!$A$9:$BN$9,1),FALSE),0)+IFERROR(VLOOKUP($B22,'RA4-Tracks_Roads'!$A$11:$BN$18,MATCH(Summary!M$1,'RA4-Tracks_Roads'!$A$9:$BN$9,1),FALSE),0)+IFERROR(VLOOKUP($B22,'RA5-ROM'!$A$11:$BN$18,MATCH(Summary!M$1,'RA5-ROM'!$A$9:$BN$9,1),FALSE),0)+IFERROR(VLOOKUP($B22,'RA6-CHPP'!$A$11:$BN$18,MATCH(Summary!M$1,'RA6-CHPP'!$A$9:$BN$9,1),FALSE),0)+IFERROR(VLOOKUP($B22,'RA7-Mine Infrastructure Area'!$A$11:$BN$18,MATCH(Summary!M$1,'RA7-Mine Infrastructure Area'!$A$9:$BN$9,1),FALSE),0)+IFERROR(VLOOKUP($B22,'RA8-Water Management Structures'!$A$11:$BN$18,MATCH(Summary!M$1,'RA8-Water Management Structures'!$A$9:$BN$9,1),FALSE),0)+IFERROR(VLOOKUP($B22,'RA9-Codisposal Upper'!$A$11:$BN$18,MATCH(Summary!M$1,'RA9-Codisposal Upper'!$A$9:$BN$9,1),FALSE),0)+IFERROR(VLOOKUP($B22,'RA10-Codisposal Slopes'!$A$11:$BN$18,MATCH(Summary!M$1,'RA10-Codisposal Slopes'!$A$9:$BN$9,1),FALSE),0)+IFERROR(VLOOKUP($B22,'IA1-Final Void inc Ramps'!$A$11:$BN$18,MATCH(Summary!M$1,'IA1-Final Void inc Ramps'!$A$9:$BN$9,1),FALSE),0)</f>
        <v>0</v>
      </c>
      <c r="N22" s="51">
        <f>IFERROR(VLOOKUP($B22,'RA1- Elevated Dumps Upper'!$A$11:$BN$18,MATCH(Summary!N$1,'RA1- Elevated Dumps Upper'!$A$9:$BN$9,1),FALSE),0)+IFERROR(VLOOKUP($B22,'RA2-Elevated Dumps Slopes'!$A$11:$BN$18,MATCH(Summary!N$1,'RA2-Elevated Dumps Slopes'!$A$9:$BN$9,1),FALSE),0)+IFERROR(VLOOKUP($B22,'RA3-Backfilled Pits'!$A$11:$BN$18,MATCH(Summary!N$1,'RA3-Backfilled Pits'!$A$9:$BN$9,1),FALSE),0)+IFERROR(VLOOKUP($B22,'RA4-Tracks_Roads'!$A$11:$BN$18,MATCH(Summary!N$1,'RA4-Tracks_Roads'!$A$9:$BN$9,1),FALSE),0)+IFERROR(VLOOKUP($B22,'RA5-ROM'!$A$11:$BN$18,MATCH(Summary!N$1,'RA5-ROM'!$A$9:$BN$9,1),FALSE),0)+IFERROR(VLOOKUP($B22,'RA6-CHPP'!$A$11:$BN$18,MATCH(Summary!N$1,'RA6-CHPP'!$A$9:$BN$9,1),FALSE),0)+IFERROR(VLOOKUP($B22,'RA7-Mine Infrastructure Area'!$A$11:$BN$18,MATCH(Summary!N$1,'RA7-Mine Infrastructure Area'!$A$9:$BN$9,1),FALSE),0)+IFERROR(VLOOKUP($B22,'RA8-Water Management Structures'!$A$11:$BN$18,MATCH(Summary!N$1,'RA8-Water Management Structures'!$A$9:$BN$9,1),FALSE),0)+IFERROR(VLOOKUP($B22,'RA9-Codisposal Upper'!$A$11:$BN$18,MATCH(Summary!N$1,'RA9-Codisposal Upper'!$A$9:$BN$9,1),FALSE),0)+IFERROR(VLOOKUP($B22,'RA10-Codisposal Slopes'!$A$11:$BN$18,MATCH(Summary!N$1,'RA10-Codisposal Slopes'!$A$9:$BN$9,1),FALSE),0)+IFERROR(VLOOKUP($B22,'IA1-Final Void inc Ramps'!$A$11:$BN$18,MATCH(Summary!N$1,'IA1-Final Void inc Ramps'!$A$9:$BN$9,1),FALSE),0)</f>
        <v>0</v>
      </c>
      <c r="O22" s="51">
        <f>IFERROR(VLOOKUP($B22,'RA1- Elevated Dumps Upper'!$A$11:$BN$18,MATCH(Summary!O$1,'RA1- Elevated Dumps Upper'!$A$9:$BN$9,1),FALSE),0)+IFERROR(VLOOKUP($B22,'RA2-Elevated Dumps Slopes'!$A$11:$BN$18,MATCH(Summary!O$1,'RA2-Elevated Dumps Slopes'!$A$9:$BN$9,1),FALSE),0)+IFERROR(VLOOKUP($B22,'RA3-Backfilled Pits'!$A$11:$BN$18,MATCH(Summary!O$1,'RA3-Backfilled Pits'!$A$9:$BN$9,1),FALSE),0)+IFERROR(VLOOKUP($B22,'RA4-Tracks_Roads'!$A$11:$BN$18,MATCH(Summary!O$1,'RA4-Tracks_Roads'!$A$9:$BN$9,1),FALSE),0)+IFERROR(VLOOKUP($B22,'RA5-ROM'!$A$11:$BN$18,MATCH(Summary!O$1,'RA5-ROM'!$A$9:$BN$9,1),FALSE),0)+IFERROR(VLOOKUP($B22,'RA6-CHPP'!$A$11:$BN$18,MATCH(Summary!O$1,'RA6-CHPP'!$A$9:$BN$9,1),FALSE),0)+IFERROR(VLOOKUP($B22,'RA7-Mine Infrastructure Area'!$A$11:$BN$18,MATCH(Summary!O$1,'RA7-Mine Infrastructure Area'!$A$9:$BN$9,1),FALSE),0)+IFERROR(VLOOKUP($B22,'RA8-Water Management Structures'!$A$11:$BN$18,MATCH(Summary!O$1,'RA8-Water Management Structures'!$A$9:$BN$9,1),FALSE),0)+IFERROR(VLOOKUP($B22,'RA9-Codisposal Upper'!$A$11:$BN$18,MATCH(Summary!O$1,'RA9-Codisposal Upper'!$A$9:$BN$9,1),FALSE),0)+IFERROR(VLOOKUP($B22,'RA10-Codisposal Slopes'!$A$11:$BN$18,MATCH(Summary!O$1,'RA10-Codisposal Slopes'!$A$9:$BN$9,1),FALSE),0)+IFERROR(VLOOKUP($B22,'IA1-Final Void inc Ramps'!$A$11:$BN$18,MATCH(Summary!O$1,'IA1-Final Void inc Ramps'!$A$9:$BN$9,1),FALSE),0)</f>
        <v>0</v>
      </c>
      <c r="P22" s="51">
        <f>IFERROR(VLOOKUP($B22,'RA1- Elevated Dumps Upper'!$A$11:$BN$18,MATCH(Summary!P$1,'RA1- Elevated Dumps Upper'!$A$9:$BN$9,1),FALSE),0)+IFERROR(VLOOKUP($B22,'RA2-Elevated Dumps Slopes'!$A$11:$BN$18,MATCH(Summary!P$1,'RA2-Elevated Dumps Slopes'!$A$9:$BN$9,1),FALSE),0)+IFERROR(VLOOKUP($B22,'RA3-Backfilled Pits'!$A$11:$BN$18,MATCH(Summary!P$1,'RA3-Backfilled Pits'!$A$9:$BN$9,1),FALSE),0)+IFERROR(VLOOKUP($B22,'RA4-Tracks_Roads'!$A$11:$BN$18,MATCH(Summary!P$1,'RA4-Tracks_Roads'!$A$9:$BN$9,1),FALSE),0)+IFERROR(VLOOKUP($B22,'RA5-ROM'!$A$11:$BN$18,MATCH(Summary!P$1,'RA5-ROM'!$A$9:$BN$9,1),FALSE),0)+IFERROR(VLOOKUP($B22,'RA6-CHPP'!$A$11:$BN$18,MATCH(Summary!P$1,'RA6-CHPP'!$A$9:$BN$9,1),FALSE),0)+IFERROR(VLOOKUP($B22,'RA7-Mine Infrastructure Area'!$A$11:$BN$18,MATCH(Summary!P$1,'RA7-Mine Infrastructure Area'!$A$9:$BN$9,1),FALSE),0)+IFERROR(VLOOKUP($B22,'RA8-Water Management Structures'!$A$11:$BN$18,MATCH(Summary!P$1,'RA8-Water Management Structures'!$A$9:$BN$9,1),FALSE),0)+IFERROR(VLOOKUP($B22,'RA9-Codisposal Upper'!$A$11:$BN$18,MATCH(Summary!P$1,'RA9-Codisposal Upper'!$A$9:$BN$9,1),FALSE),0)+IFERROR(VLOOKUP($B22,'RA10-Codisposal Slopes'!$A$11:$BN$18,MATCH(Summary!P$1,'RA10-Codisposal Slopes'!$A$9:$BN$9,1),FALSE),0)+IFERROR(VLOOKUP($B22,'IA1-Final Void inc Ramps'!$A$11:$BN$18,MATCH(Summary!P$1,'IA1-Final Void inc Ramps'!$A$9:$BN$9,1),FALSE),0)</f>
        <v>0</v>
      </c>
      <c r="Q22" s="51">
        <f>IFERROR(VLOOKUP($B22,'RA1- Elevated Dumps Upper'!$A$11:$BN$18,MATCH(Summary!Q$1,'RA1- Elevated Dumps Upper'!$A$9:$BN$9,1),FALSE),0)+IFERROR(VLOOKUP($B22,'RA2-Elevated Dumps Slopes'!$A$11:$BN$18,MATCH(Summary!Q$1,'RA2-Elevated Dumps Slopes'!$A$9:$BN$9,1),FALSE),0)+IFERROR(VLOOKUP($B22,'RA3-Backfilled Pits'!$A$11:$BN$18,MATCH(Summary!Q$1,'RA3-Backfilled Pits'!$A$9:$BN$9,1),FALSE),0)+IFERROR(VLOOKUP($B22,'RA4-Tracks_Roads'!$A$11:$BN$18,MATCH(Summary!Q$1,'RA4-Tracks_Roads'!$A$9:$BN$9,1),FALSE),0)+IFERROR(VLOOKUP($B22,'RA5-ROM'!$A$11:$BN$18,MATCH(Summary!Q$1,'RA5-ROM'!$A$9:$BN$9,1),FALSE),0)+IFERROR(VLOOKUP($B22,'RA6-CHPP'!$A$11:$BN$18,MATCH(Summary!Q$1,'RA6-CHPP'!$A$9:$BN$9,1),FALSE),0)+IFERROR(VLOOKUP($B22,'RA7-Mine Infrastructure Area'!$A$11:$BN$18,MATCH(Summary!Q$1,'RA7-Mine Infrastructure Area'!$A$9:$BN$9,1),FALSE),0)+IFERROR(VLOOKUP($B22,'RA8-Water Management Structures'!$A$11:$BN$18,MATCH(Summary!Q$1,'RA8-Water Management Structures'!$A$9:$BN$9,1),FALSE),0)+IFERROR(VLOOKUP($B22,'RA9-Codisposal Upper'!$A$11:$BN$18,MATCH(Summary!Q$1,'RA9-Codisposal Upper'!$A$9:$BN$9,1),FALSE),0)+IFERROR(VLOOKUP($B22,'RA10-Codisposal Slopes'!$A$11:$BN$18,MATCH(Summary!Q$1,'RA10-Codisposal Slopes'!$A$9:$BN$9,1),FALSE),0)+IFERROR(VLOOKUP($B22,'IA1-Final Void inc Ramps'!$A$11:$BN$18,MATCH(Summary!Q$1,'IA1-Final Void inc Ramps'!$A$9:$BN$9,1),FALSE),0)</f>
        <v>0</v>
      </c>
      <c r="R22" s="51">
        <f>IFERROR(VLOOKUP($B22,'RA1- Elevated Dumps Upper'!$A$11:$BN$18,MATCH(Summary!R$1,'RA1- Elevated Dumps Upper'!$A$9:$BN$9,1),FALSE),0)+IFERROR(VLOOKUP($B22,'RA2-Elevated Dumps Slopes'!$A$11:$BN$18,MATCH(Summary!R$1,'RA2-Elevated Dumps Slopes'!$A$9:$BN$9,1),FALSE),0)+IFERROR(VLOOKUP($B22,'RA3-Backfilled Pits'!$A$11:$BN$18,MATCH(Summary!R$1,'RA3-Backfilled Pits'!$A$9:$BN$9,1),FALSE),0)+IFERROR(VLOOKUP($B22,'RA4-Tracks_Roads'!$A$11:$BN$18,MATCH(Summary!R$1,'RA4-Tracks_Roads'!$A$9:$BN$9,1),FALSE),0)+IFERROR(VLOOKUP($B22,'RA5-ROM'!$A$11:$BN$18,MATCH(Summary!R$1,'RA5-ROM'!$A$9:$BN$9,1),FALSE),0)+IFERROR(VLOOKUP($B22,'RA6-CHPP'!$A$11:$BN$18,MATCH(Summary!R$1,'RA6-CHPP'!$A$9:$BN$9,1),FALSE),0)+IFERROR(VLOOKUP($B22,'RA7-Mine Infrastructure Area'!$A$11:$BN$18,MATCH(Summary!R$1,'RA7-Mine Infrastructure Area'!$A$9:$BN$9,1),FALSE),0)+IFERROR(VLOOKUP($B22,'RA8-Water Management Structures'!$A$11:$BN$18,MATCH(Summary!R$1,'RA8-Water Management Structures'!$A$9:$BN$9,1),FALSE),0)+IFERROR(VLOOKUP($B22,'RA9-Codisposal Upper'!$A$11:$BN$18,MATCH(Summary!R$1,'RA9-Codisposal Upper'!$A$9:$BN$9,1),FALSE),0)+IFERROR(VLOOKUP($B22,'RA10-Codisposal Slopes'!$A$11:$BN$18,MATCH(Summary!R$1,'RA10-Codisposal Slopes'!$A$9:$BN$9,1),FALSE),0)+IFERROR(VLOOKUP($B22,'IA1-Final Void inc Ramps'!$A$11:$BN$18,MATCH(Summary!R$1,'IA1-Final Void inc Ramps'!$A$9:$BN$9,1),FALSE),0)</f>
        <v>0</v>
      </c>
      <c r="S22" s="51">
        <f>IFERROR(VLOOKUP($B22,'RA1- Elevated Dumps Upper'!$A$11:$BN$18,MATCH(Summary!S$1,'RA1- Elevated Dumps Upper'!$A$9:$BN$9,1),FALSE),0)+IFERROR(VLOOKUP($B22,'RA2-Elevated Dumps Slopes'!$A$11:$BN$18,MATCH(Summary!S$1,'RA2-Elevated Dumps Slopes'!$A$9:$BN$9,1),FALSE),0)+IFERROR(VLOOKUP($B22,'RA3-Backfilled Pits'!$A$11:$BN$18,MATCH(Summary!S$1,'RA3-Backfilled Pits'!$A$9:$BN$9,1),FALSE),0)+IFERROR(VLOOKUP($B22,'RA4-Tracks_Roads'!$A$11:$BN$18,MATCH(Summary!S$1,'RA4-Tracks_Roads'!$A$9:$BN$9,1),FALSE),0)+IFERROR(VLOOKUP($B22,'RA5-ROM'!$A$11:$BN$18,MATCH(Summary!S$1,'RA5-ROM'!$A$9:$BN$9,1),FALSE),0)+IFERROR(VLOOKUP($B22,'RA6-CHPP'!$A$11:$BN$18,MATCH(Summary!S$1,'RA6-CHPP'!$A$9:$BN$9,1),FALSE),0)+IFERROR(VLOOKUP($B22,'RA7-Mine Infrastructure Area'!$A$11:$BN$18,MATCH(Summary!S$1,'RA7-Mine Infrastructure Area'!$A$9:$BN$9,1),FALSE),0)+IFERROR(VLOOKUP($B22,'RA8-Water Management Structures'!$A$11:$BN$18,MATCH(Summary!S$1,'RA8-Water Management Structures'!$A$9:$BN$9,1),FALSE),0)+IFERROR(VLOOKUP($B22,'RA9-Codisposal Upper'!$A$11:$BN$18,MATCH(Summary!S$1,'RA9-Codisposal Upper'!$A$9:$BN$9,1),FALSE),0)+IFERROR(VLOOKUP($B22,'RA10-Codisposal Slopes'!$A$11:$BN$18,MATCH(Summary!S$1,'RA10-Codisposal Slopes'!$A$9:$BN$9,1),FALSE),0)+IFERROR(VLOOKUP($B22,'IA1-Final Void inc Ramps'!$A$11:$BN$18,MATCH(Summary!S$1,'IA1-Final Void inc Ramps'!$A$9:$BN$9,1),FALSE),0)</f>
        <v>0</v>
      </c>
      <c r="T22" s="51">
        <f>IFERROR(VLOOKUP($B22,'RA1- Elevated Dumps Upper'!$A$11:$BN$18,MATCH(Summary!T$1,'RA1- Elevated Dumps Upper'!$A$9:$BN$9,1),FALSE),0)+IFERROR(VLOOKUP($B22,'RA2-Elevated Dumps Slopes'!$A$11:$BN$18,MATCH(Summary!T$1,'RA2-Elevated Dumps Slopes'!$A$9:$BN$9,1),FALSE),0)+IFERROR(VLOOKUP($B22,'RA3-Backfilled Pits'!$A$11:$BN$18,MATCH(Summary!T$1,'RA3-Backfilled Pits'!$A$9:$BN$9,1),FALSE),0)+IFERROR(VLOOKUP($B22,'RA4-Tracks_Roads'!$A$11:$BN$18,MATCH(Summary!T$1,'RA4-Tracks_Roads'!$A$9:$BN$9,1),FALSE),0)+IFERROR(VLOOKUP($B22,'RA5-ROM'!$A$11:$BN$18,MATCH(Summary!T$1,'RA5-ROM'!$A$9:$BN$9,1),FALSE),0)+IFERROR(VLOOKUP($B22,'RA6-CHPP'!$A$11:$BN$18,MATCH(Summary!T$1,'RA6-CHPP'!$A$9:$BN$9,1),FALSE),0)+IFERROR(VLOOKUP($B22,'RA7-Mine Infrastructure Area'!$A$11:$BN$18,MATCH(Summary!T$1,'RA7-Mine Infrastructure Area'!$A$9:$BN$9,1),FALSE),0)+IFERROR(VLOOKUP($B22,'RA8-Water Management Structures'!$A$11:$BN$18,MATCH(Summary!T$1,'RA8-Water Management Structures'!$A$9:$BN$9,1),FALSE),0)+IFERROR(VLOOKUP($B22,'RA9-Codisposal Upper'!$A$11:$BN$18,MATCH(Summary!T$1,'RA9-Codisposal Upper'!$A$9:$BN$9,1),FALSE),0)+IFERROR(VLOOKUP($B22,'RA10-Codisposal Slopes'!$A$11:$BN$18,MATCH(Summary!T$1,'RA10-Codisposal Slopes'!$A$9:$BN$9,1),FALSE),0)+IFERROR(VLOOKUP($B22,'IA1-Final Void inc Ramps'!$A$11:$BN$18,MATCH(Summary!T$1,'IA1-Final Void inc Ramps'!$A$9:$BN$9,1),FALSE),0)</f>
        <v>0</v>
      </c>
      <c r="U22" s="51">
        <f>IFERROR(VLOOKUP($B22,'RA1- Elevated Dumps Upper'!$A$11:$BN$18,MATCH(Summary!U$1,'RA1- Elevated Dumps Upper'!$A$9:$BN$9,1),FALSE),0)+IFERROR(VLOOKUP($B22,'RA2-Elevated Dumps Slopes'!$A$11:$BN$18,MATCH(Summary!U$1,'RA2-Elevated Dumps Slopes'!$A$9:$BN$9,1),FALSE),0)+IFERROR(VLOOKUP($B22,'RA3-Backfilled Pits'!$A$11:$BN$18,MATCH(Summary!U$1,'RA3-Backfilled Pits'!$A$9:$BN$9,1),FALSE),0)+IFERROR(VLOOKUP($B22,'RA4-Tracks_Roads'!$A$11:$BN$18,MATCH(Summary!U$1,'RA4-Tracks_Roads'!$A$9:$BN$9,1),FALSE),0)+IFERROR(VLOOKUP($B22,'RA5-ROM'!$A$11:$BN$18,MATCH(Summary!U$1,'RA5-ROM'!$A$9:$BN$9,1),FALSE),0)+IFERROR(VLOOKUP($B22,'RA6-CHPP'!$A$11:$BN$18,MATCH(Summary!U$1,'RA6-CHPP'!$A$9:$BN$9,1),FALSE),0)+IFERROR(VLOOKUP($B22,'RA7-Mine Infrastructure Area'!$A$11:$BN$18,MATCH(Summary!U$1,'RA7-Mine Infrastructure Area'!$A$9:$BN$9,1),FALSE),0)+IFERROR(VLOOKUP($B22,'RA8-Water Management Structures'!$A$11:$BN$18,MATCH(Summary!U$1,'RA8-Water Management Structures'!$A$9:$BN$9,1),FALSE),0)+IFERROR(VLOOKUP($B22,'RA9-Codisposal Upper'!$A$11:$BN$18,MATCH(Summary!U$1,'RA9-Codisposal Upper'!$A$9:$BN$9,1),FALSE),0)+IFERROR(VLOOKUP($B22,'RA10-Codisposal Slopes'!$A$11:$BN$18,MATCH(Summary!U$1,'RA10-Codisposal Slopes'!$A$9:$BN$9,1),FALSE),0)+IFERROR(VLOOKUP($B22,'IA1-Final Void inc Ramps'!$A$11:$BN$18,MATCH(Summary!U$1,'IA1-Final Void inc Ramps'!$A$9:$BN$9,1),FALSE),0)</f>
        <v>0</v>
      </c>
      <c r="V22" s="51">
        <f>IFERROR(VLOOKUP($B22,'RA1- Elevated Dumps Upper'!$A$11:$BN$18,MATCH(Summary!V$1,'RA1- Elevated Dumps Upper'!$A$9:$BN$9,1),FALSE),0)+IFERROR(VLOOKUP($B22,'RA2-Elevated Dumps Slopes'!$A$11:$BN$18,MATCH(Summary!V$1,'RA2-Elevated Dumps Slopes'!$A$9:$BN$9,1),FALSE),0)+IFERROR(VLOOKUP($B22,'RA3-Backfilled Pits'!$A$11:$BN$18,MATCH(Summary!V$1,'RA3-Backfilled Pits'!$A$9:$BN$9,1),FALSE),0)+IFERROR(VLOOKUP($B22,'RA4-Tracks_Roads'!$A$11:$BN$18,MATCH(Summary!V$1,'RA4-Tracks_Roads'!$A$9:$BN$9,1),FALSE),0)+IFERROR(VLOOKUP($B22,'RA5-ROM'!$A$11:$BN$18,MATCH(Summary!V$1,'RA5-ROM'!$A$9:$BN$9,1),FALSE),0)+IFERROR(VLOOKUP($B22,'RA6-CHPP'!$A$11:$BN$18,MATCH(Summary!V$1,'RA6-CHPP'!$A$9:$BN$9,1),FALSE),0)+IFERROR(VLOOKUP($B22,'RA7-Mine Infrastructure Area'!$A$11:$BN$18,MATCH(Summary!V$1,'RA7-Mine Infrastructure Area'!$A$9:$BN$9,1),FALSE),0)+IFERROR(VLOOKUP($B22,'RA8-Water Management Structures'!$A$11:$BN$18,MATCH(Summary!V$1,'RA8-Water Management Structures'!$A$9:$BN$9,1),FALSE),0)+IFERROR(VLOOKUP($B22,'RA9-Codisposal Upper'!$A$11:$BN$18,MATCH(Summary!V$1,'RA9-Codisposal Upper'!$A$9:$BN$9,1),FALSE),0)+IFERROR(VLOOKUP($B22,'RA10-Codisposal Slopes'!$A$11:$BN$18,MATCH(Summary!V$1,'RA10-Codisposal Slopes'!$A$9:$BN$9,1),FALSE),0)+IFERROR(VLOOKUP($B22,'IA1-Final Void inc Ramps'!$A$11:$BN$18,MATCH(Summary!V$1,'IA1-Final Void inc Ramps'!$A$9:$BN$9,1),FALSE),0)</f>
        <v>0</v>
      </c>
      <c r="W22" s="51">
        <f>IFERROR(VLOOKUP($B22,'RA1- Elevated Dumps Upper'!$A$11:$BN$18,MATCH(Summary!W$1,'RA1- Elevated Dumps Upper'!$A$9:$BN$9,1),FALSE),0)+IFERROR(VLOOKUP($B22,'RA2-Elevated Dumps Slopes'!$A$11:$BN$18,MATCH(Summary!W$1,'RA2-Elevated Dumps Slopes'!$A$9:$BN$9,1),FALSE),0)+IFERROR(VLOOKUP($B22,'RA3-Backfilled Pits'!$A$11:$BN$18,MATCH(Summary!W$1,'RA3-Backfilled Pits'!$A$9:$BN$9,1),FALSE),0)+IFERROR(VLOOKUP($B22,'RA4-Tracks_Roads'!$A$11:$BN$18,MATCH(Summary!W$1,'RA4-Tracks_Roads'!$A$9:$BN$9,1),FALSE),0)+IFERROR(VLOOKUP($B22,'RA5-ROM'!$A$11:$BN$18,MATCH(Summary!W$1,'RA5-ROM'!$A$9:$BN$9,1),FALSE),0)+IFERROR(VLOOKUP($B22,'RA6-CHPP'!$A$11:$BN$18,MATCH(Summary!W$1,'RA6-CHPP'!$A$9:$BN$9,1),FALSE),0)+IFERROR(VLOOKUP($B22,'RA7-Mine Infrastructure Area'!$A$11:$BN$18,MATCH(Summary!W$1,'RA7-Mine Infrastructure Area'!$A$9:$BN$9,1),FALSE),0)+IFERROR(VLOOKUP($B22,'RA8-Water Management Structures'!$A$11:$BN$18,MATCH(Summary!W$1,'RA8-Water Management Structures'!$A$9:$BN$9,1),FALSE),0)+IFERROR(VLOOKUP($B22,'RA9-Codisposal Upper'!$A$11:$BN$18,MATCH(Summary!W$1,'RA9-Codisposal Upper'!$A$9:$BN$9,1),FALSE),0)+IFERROR(VLOOKUP($B22,'RA10-Codisposal Slopes'!$A$11:$BN$18,MATCH(Summary!W$1,'RA10-Codisposal Slopes'!$A$9:$BN$9,1),FALSE),0)+IFERROR(VLOOKUP($B22,'IA1-Final Void inc Ramps'!$A$11:$BN$18,MATCH(Summary!W$1,'IA1-Final Void inc Ramps'!$A$9:$BN$9,1),FALSE),0)</f>
        <v>0</v>
      </c>
      <c r="X22" s="51">
        <f>IFERROR(VLOOKUP($B22,'RA1- Elevated Dumps Upper'!$A$11:$BN$18,MATCH(Summary!X$1,'RA1- Elevated Dumps Upper'!$A$9:$BN$9,1),FALSE),0)+IFERROR(VLOOKUP($B22,'RA2-Elevated Dumps Slopes'!$A$11:$BN$18,MATCH(Summary!X$1,'RA2-Elevated Dumps Slopes'!$A$9:$BN$9,1),FALSE),0)+IFERROR(VLOOKUP($B22,'RA3-Backfilled Pits'!$A$11:$BN$18,MATCH(Summary!X$1,'RA3-Backfilled Pits'!$A$9:$BN$9,1),FALSE),0)+IFERROR(VLOOKUP($B22,'RA4-Tracks_Roads'!$A$11:$BN$18,MATCH(Summary!X$1,'RA4-Tracks_Roads'!$A$9:$BN$9,1),FALSE),0)+IFERROR(VLOOKUP($B22,'RA5-ROM'!$A$11:$BN$18,MATCH(Summary!X$1,'RA5-ROM'!$A$9:$BN$9,1),FALSE),0)+IFERROR(VLOOKUP($B22,'RA6-CHPP'!$A$11:$BN$18,MATCH(Summary!X$1,'RA6-CHPP'!$A$9:$BN$9,1),FALSE),0)+IFERROR(VLOOKUP($B22,'RA7-Mine Infrastructure Area'!$A$11:$BN$18,MATCH(Summary!X$1,'RA7-Mine Infrastructure Area'!$A$9:$BN$9,1),FALSE),0)+IFERROR(VLOOKUP($B22,'RA8-Water Management Structures'!$A$11:$BN$18,MATCH(Summary!X$1,'RA8-Water Management Structures'!$A$9:$BN$9,1),FALSE),0)+IFERROR(VLOOKUP($B22,'RA9-Codisposal Upper'!$A$11:$BN$18,MATCH(Summary!X$1,'RA9-Codisposal Upper'!$A$9:$BN$9,1),FALSE),0)+IFERROR(VLOOKUP($B22,'RA10-Codisposal Slopes'!$A$11:$BN$18,MATCH(Summary!X$1,'RA10-Codisposal Slopes'!$A$9:$BN$9,1),FALSE),0)+IFERROR(VLOOKUP($B22,'IA1-Final Void inc Ramps'!$A$11:$BN$18,MATCH(Summary!X$1,'IA1-Final Void inc Ramps'!$A$9:$BN$9,1),FALSE),0)</f>
        <v>0</v>
      </c>
      <c r="Y22" s="51">
        <f>IFERROR(VLOOKUP($B22,'RA1- Elevated Dumps Upper'!$A$11:$BN$18,MATCH(Summary!Y$1,'RA1- Elevated Dumps Upper'!$A$9:$BN$9,1),FALSE),0)+IFERROR(VLOOKUP($B22,'RA2-Elevated Dumps Slopes'!$A$11:$BN$18,MATCH(Summary!Y$1,'RA2-Elevated Dumps Slopes'!$A$9:$BN$9,1),FALSE),0)+IFERROR(VLOOKUP($B22,'RA3-Backfilled Pits'!$A$11:$BN$18,MATCH(Summary!Y$1,'RA3-Backfilled Pits'!$A$9:$BN$9,1),FALSE),0)+IFERROR(VLOOKUP($B22,'RA4-Tracks_Roads'!$A$11:$BN$18,MATCH(Summary!Y$1,'RA4-Tracks_Roads'!$A$9:$BN$9,1),FALSE),0)+IFERROR(VLOOKUP($B22,'RA5-ROM'!$A$11:$BN$18,MATCH(Summary!Y$1,'RA5-ROM'!$A$9:$BN$9,1),FALSE),0)+IFERROR(VLOOKUP($B22,'RA6-CHPP'!$A$11:$BN$18,MATCH(Summary!Y$1,'RA6-CHPP'!$A$9:$BN$9,1),FALSE),0)+IFERROR(VLOOKUP($B22,'RA7-Mine Infrastructure Area'!$A$11:$BN$18,MATCH(Summary!Y$1,'RA7-Mine Infrastructure Area'!$A$9:$BN$9,1),FALSE),0)+IFERROR(VLOOKUP($B22,'RA8-Water Management Structures'!$A$11:$BN$18,MATCH(Summary!Y$1,'RA8-Water Management Structures'!$A$9:$BN$9,1),FALSE),0)+IFERROR(VLOOKUP($B22,'RA9-Codisposal Upper'!$A$11:$BN$18,MATCH(Summary!Y$1,'RA9-Codisposal Upper'!$A$9:$BN$9,1),FALSE),0)+IFERROR(VLOOKUP($B22,'RA10-Codisposal Slopes'!$A$11:$BN$18,MATCH(Summary!Y$1,'RA10-Codisposal Slopes'!$A$9:$BN$9,1),FALSE),0)+IFERROR(VLOOKUP($B22,'IA1-Final Void inc Ramps'!$A$11:$BN$18,MATCH(Summary!Y$1,'IA1-Final Void inc Ramps'!$A$9:$BN$9,1),FALSE),0)</f>
        <v>0</v>
      </c>
      <c r="Z22" s="51">
        <f>IFERROR(VLOOKUP($B22,'RA1- Elevated Dumps Upper'!$A$11:$BN$18,MATCH(Summary!Z$1,'RA1- Elevated Dumps Upper'!$A$9:$BN$9,1),FALSE),0)+IFERROR(VLOOKUP($B22,'RA2-Elevated Dumps Slopes'!$A$11:$BN$18,MATCH(Summary!Z$1,'RA2-Elevated Dumps Slopes'!$A$9:$BN$9,1),FALSE),0)+IFERROR(VLOOKUP($B22,'RA3-Backfilled Pits'!$A$11:$BN$18,MATCH(Summary!Z$1,'RA3-Backfilled Pits'!$A$9:$BN$9,1),FALSE),0)+IFERROR(VLOOKUP($B22,'RA4-Tracks_Roads'!$A$11:$BN$18,MATCH(Summary!Z$1,'RA4-Tracks_Roads'!$A$9:$BN$9,1),FALSE),0)+IFERROR(VLOOKUP($B22,'RA5-ROM'!$A$11:$BN$18,MATCH(Summary!Z$1,'RA5-ROM'!$A$9:$BN$9,1),FALSE),0)+IFERROR(VLOOKUP($B22,'RA6-CHPP'!$A$11:$BN$18,MATCH(Summary!Z$1,'RA6-CHPP'!$A$9:$BN$9,1),FALSE),0)+IFERROR(VLOOKUP($B22,'RA7-Mine Infrastructure Area'!$A$11:$BN$18,MATCH(Summary!Z$1,'RA7-Mine Infrastructure Area'!$A$9:$BN$9,1),FALSE),0)+IFERROR(VLOOKUP($B22,'RA8-Water Management Structures'!$A$11:$BN$18,MATCH(Summary!Z$1,'RA8-Water Management Structures'!$A$9:$BN$9,1),FALSE),0)+IFERROR(VLOOKUP($B22,'RA9-Codisposal Upper'!$A$11:$BN$18,MATCH(Summary!Z$1,'RA9-Codisposal Upper'!$A$9:$BN$9,1),FALSE),0)+IFERROR(VLOOKUP($B22,'RA10-Codisposal Slopes'!$A$11:$BN$18,MATCH(Summary!Z$1,'RA10-Codisposal Slopes'!$A$9:$BN$9,1),FALSE),0)+IFERROR(VLOOKUP($B22,'IA1-Final Void inc Ramps'!$A$11:$BN$18,MATCH(Summary!Z$1,'IA1-Final Void inc Ramps'!$A$9:$BN$9,1),FALSE),0)</f>
        <v>0</v>
      </c>
      <c r="AA22" s="51">
        <f>IFERROR(VLOOKUP($B22,'RA1- Elevated Dumps Upper'!$A$11:$BN$18,MATCH(Summary!AA$1,'RA1- Elevated Dumps Upper'!$A$9:$BN$9,1),FALSE),0)+IFERROR(VLOOKUP($B22,'RA2-Elevated Dumps Slopes'!$A$11:$BN$18,MATCH(Summary!AA$1,'RA2-Elevated Dumps Slopes'!$A$9:$BN$9,1),FALSE),0)+IFERROR(VLOOKUP($B22,'RA3-Backfilled Pits'!$A$11:$BN$18,MATCH(Summary!AA$1,'RA3-Backfilled Pits'!$A$9:$BN$9,1),FALSE),0)+IFERROR(VLOOKUP($B22,'RA4-Tracks_Roads'!$A$11:$BN$18,MATCH(Summary!AA$1,'RA4-Tracks_Roads'!$A$9:$BN$9,1),FALSE),0)+IFERROR(VLOOKUP($B22,'RA5-ROM'!$A$11:$BN$18,MATCH(Summary!AA$1,'RA5-ROM'!$A$9:$BN$9,1),FALSE),0)+IFERROR(VLOOKUP($B22,'RA6-CHPP'!$A$11:$BN$18,MATCH(Summary!AA$1,'RA6-CHPP'!$A$9:$BN$9,1),FALSE),0)+IFERROR(VLOOKUP($B22,'RA7-Mine Infrastructure Area'!$A$11:$BN$18,MATCH(Summary!AA$1,'RA7-Mine Infrastructure Area'!$A$9:$BN$9,1),FALSE),0)+IFERROR(VLOOKUP($B22,'RA8-Water Management Structures'!$A$11:$BN$18,MATCH(Summary!AA$1,'RA8-Water Management Structures'!$A$9:$BN$9,1),FALSE),0)+IFERROR(VLOOKUP($B22,'RA9-Codisposal Upper'!$A$11:$BN$18,MATCH(Summary!AA$1,'RA9-Codisposal Upper'!$A$9:$BN$9,1),FALSE),0)+IFERROR(VLOOKUP($B22,'RA10-Codisposal Slopes'!$A$11:$BN$18,MATCH(Summary!AA$1,'RA10-Codisposal Slopes'!$A$9:$BN$9,1),FALSE),0)+IFERROR(VLOOKUP($B22,'IA1-Final Void inc Ramps'!$A$11:$BN$18,MATCH(Summary!AA$1,'IA1-Final Void inc Ramps'!$A$9:$BN$9,1),FALSE),0)</f>
        <v>0</v>
      </c>
      <c r="AB22" s="51">
        <f>IFERROR(VLOOKUP($B22,'RA1- Elevated Dumps Upper'!$A$11:$BN$18,MATCH(Summary!AB$1,'RA1- Elevated Dumps Upper'!$A$9:$BN$9,1),FALSE),0)+IFERROR(VLOOKUP($B22,'RA2-Elevated Dumps Slopes'!$A$11:$BN$18,MATCH(Summary!AB$1,'RA2-Elevated Dumps Slopes'!$A$9:$BN$9,1),FALSE),0)+IFERROR(VLOOKUP($B22,'RA3-Backfilled Pits'!$A$11:$BN$18,MATCH(Summary!AB$1,'RA3-Backfilled Pits'!$A$9:$BN$9,1),FALSE),0)+IFERROR(VLOOKUP($B22,'RA4-Tracks_Roads'!$A$11:$BN$18,MATCH(Summary!AB$1,'RA4-Tracks_Roads'!$A$9:$BN$9,1),FALSE),0)+IFERROR(VLOOKUP($B22,'RA5-ROM'!$A$11:$BN$18,MATCH(Summary!AB$1,'RA5-ROM'!$A$9:$BN$9,1),FALSE),0)+IFERROR(VLOOKUP($B22,'RA6-CHPP'!$A$11:$BN$18,MATCH(Summary!AB$1,'RA6-CHPP'!$A$9:$BN$9,1),FALSE),0)+IFERROR(VLOOKUP($B22,'RA7-Mine Infrastructure Area'!$A$11:$BN$18,MATCH(Summary!AB$1,'RA7-Mine Infrastructure Area'!$A$9:$BN$9,1),FALSE),0)+IFERROR(VLOOKUP($B22,'RA8-Water Management Structures'!$A$11:$BN$18,MATCH(Summary!AB$1,'RA8-Water Management Structures'!$A$9:$BN$9,1),FALSE),0)+IFERROR(VLOOKUP($B22,'RA9-Codisposal Upper'!$A$11:$BN$18,MATCH(Summary!AB$1,'RA9-Codisposal Upper'!$A$9:$BN$9,1),FALSE),0)+IFERROR(VLOOKUP($B22,'RA10-Codisposal Slopes'!$A$11:$BN$18,MATCH(Summary!AB$1,'RA10-Codisposal Slopes'!$A$9:$BN$9,1),FALSE),0)+IFERROR(VLOOKUP($B22,'IA1-Final Void inc Ramps'!$A$11:$BN$18,MATCH(Summary!AB$1,'IA1-Final Void inc Ramps'!$A$9:$BN$9,1),FALSE),0)</f>
        <v>0</v>
      </c>
      <c r="AC22" s="51">
        <f>IFERROR(VLOOKUP($B22,'RA1- Elevated Dumps Upper'!$A$11:$BN$18,MATCH(Summary!AC$1,'RA1- Elevated Dumps Upper'!$A$9:$BN$9,1),FALSE),0)+IFERROR(VLOOKUP($B22,'RA2-Elevated Dumps Slopes'!$A$11:$BN$18,MATCH(Summary!AC$1,'RA2-Elevated Dumps Slopes'!$A$9:$BN$9,1),FALSE),0)+IFERROR(VLOOKUP($B22,'RA3-Backfilled Pits'!$A$11:$BN$18,MATCH(Summary!AC$1,'RA3-Backfilled Pits'!$A$9:$BN$9,1),FALSE),0)+IFERROR(VLOOKUP($B22,'RA4-Tracks_Roads'!$A$11:$BN$18,MATCH(Summary!AC$1,'RA4-Tracks_Roads'!$A$9:$BN$9,1),FALSE),0)+IFERROR(VLOOKUP($B22,'RA5-ROM'!$A$11:$BN$18,MATCH(Summary!AC$1,'RA5-ROM'!$A$9:$BN$9,1),FALSE),0)+IFERROR(VLOOKUP($B22,'RA6-CHPP'!$A$11:$BN$18,MATCH(Summary!AC$1,'RA6-CHPP'!$A$9:$BN$9,1),FALSE),0)+IFERROR(VLOOKUP($B22,'RA7-Mine Infrastructure Area'!$A$11:$BN$18,MATCH(Summary!AC$1,'RA7-Mine Infrastructure Area'!$A$9:$BN$9,1),FALSE),0)+IFERROR(VLOOKUP($B22,'RA8-Water Management Structures'!$A$11:$BN$18,MATCH(Summary!AC$1,'RA8-Water Management Structures'!$A$9:$BN$9,1),FALSE),0)+IFERROR(VLOOKUP($B22,'RA9-Codisposal Upper'!$A$11:$BN$18,MATCH(Summary!AC$1,'RA9-Codisposal Upper'!$A$9:$BN$9,1),FALSE),0)+IFERROR(VLOOKUP($B22,'RA10-Codisposal Slopes'!$A$11:$BN$18,MATCH(Summary!AC$1,'RA10-Codisposal Slopes'!$A$9:$BN$9,1),FALSE),0)+IFERROR(VLOOKUP($B22,'IA1-Final Void inc Ramps'!$A$11:$BN$18,MATCH(Summary!AC$1,'IA1-Final Void inc Ramps'!$A$9:$BN$9,1),FALSE),0)</f>
        <v>0</v>
      </c>
      <c r="AD22" s="51">
        <f>IFERROR(VLOOKUP($B22,'RA1- Elevated Dumps Upper'!$A$11:$BN$18,MATCH(Summary!AD$1,'RA1- Elevated Dumps Upper'!$A$9:$BN$9,1),FALSE),0)+IFERROR(VLOOKUP($B22,'RA2-Elevated Dumps Slopes'!$A$11:$BN$18,MATCH(Summary!AD$1,'RA2-Elevated Dumps Slopes'!$A$9:$BN$9,1),FALSE),0)+IFERROR(VLOOKUP($B22,'RA3-Backfilled Pits'!$A$11:$BN$18,MATCH(Summary!AD$1,'RA3-Backfilled Pits'!$A$9:$BN$9,1),FALSE),0)+IFERROR(VLOOKUP($B22,'RA4-Tracks_Roads'!$A$11:$BN$18,MATCH(Summary!AD$1,'RA4-Tracks_Roads'!$A$9:$BN$9,1),FALSE),0)+IFERROR(VLOOKUP($B22,'RA5-ROM'!$A$11:$BN$18,MATCH(Summary!AD$1,'RA5-ROM'!$A$9:$BN$9,1),FALSE),0)+IFERROR(VLOOKUP($B22,'RA6-CHPP'!$A$11:$BN$18,MATCH(Summary!AD$1,'RA6-CHPP'!$A$9:$BN$9,1),FALSE),0)+IFERROR(VLOOKUP($B22,'RA7-Mine Infrastructure Area'!$A$11:$BN$18,MATCH(Summary!AD$1,'RA7-Mine Infrastructure Area'!$A$9:$BN$9,1),FALSE),0)+IFERROR(VLOOKUP($B22,'RA8-Water Management Structures'!$A$11:$BN$18,MATCH(Summary!AD$1,'RA8-Water Management Structures'!$A$9:$BN$9,1),FALSE),0)+IFERROR(VLOOKUP($B22,'RA9-Codisposal Upper'!$A$11:$BN$18,MATCH(Summary!AD$1,'RA9-Codisposal Upper'!$A$9:$BN$9,1),FALSE),0)+IFERROR(VLOOKUP($B22,'RA10-Codisposal Slopes'!$A$11:$BN$18,MATCH(Summary!AD$1,'RA10-Codisposal Slopes'!$A$9:$BN$9,1),FALSE),0)+IFERROR(VLOOKUP($B22,'IA1-Final Void inc Ramps'!$A$11:$BN$18,MATCH(Summary!AD$1,'IA1-Final Void inc Ramps'!$A$9:$BN$9,1),FALSE),0)</f>
        <v>0</v>
      </c>
      <c r="AE22" s="51">
        <f>IFERROR(VLOOKUP($B22,'RA1- Elevated Dumps Upper'!$A$11:$BN$18,MATCH(Summary!AE$1,'RA1- Elevated Dumps Upper'!$A$9:$BN$9,1),FALSE),0)+IFERROR(VLOOKUP($B22,'RA2-Elevated Dumps Slopes'!$A$11:$BN$18,MATCH(Summary!AE$1,'RA2-Elevated Dumps Slopes'!$A$9:$BN$9,1),FALSE),0)+IFERROR(VLOOKUP($B22,'RA3-Backfilled Pits'!$A$11:$BN$18,MATCH(Summary!AE$1,'RA3-Backfilled Pits'!$A$9:$BN$9,1),FALSE),0)+IFERROR(VLOOKUP($B22,'RA4-Tracks_Roads'!$A$11:$BN$18,MATCH(Summary!AE$1,'RA4-Tracks_Roads'!$A$9:$BN$9,1),FALSE),0)+IFERROR(VLOOKUP($B22,'RA5-ROM'!$A$11:$BN$18,MATCH(Summary!AE$1,'RA5-ROM'!$A$9:$BN$9,1),FALSE),0)+IFERROR(VLOOKUP($B22,'RA6-CHPP'!$A$11:$BN$18,MATCH(Summary!AE$1,'RA6-CHPP'!$A$9:$BN$9,1),FALSE),0)+IFERROR(VLOOKUP($B22,'RA7-Mine Infrastructure Area'!$A$11:$BN$18,MATCH(Summary!AE$1,'RA7-Mine Infrastructure Area'!$A$9:$BN$9,1),FALSE),0)+IFERROR(VLOOKUP($B22,'RA8-Water Management Structures'!$A$11:$BN$18,MATCH(Summary!AE$1,'RA8-Water Management Structures'!$A$9:$BN$9,1),FALSE),0)+IFERROR(VLOOKUP($B22,'RA9-Codisposal Upper'!$A$11:$BN$18,MATCH(Summary!AE$1,'RA9-Codisposal Upper'!$A$9:$BN$9,1),FALSE),0)+IFERROR(VLOOKUP($B22,'RA10-Codisposal Slopes'!$A$11:$BN$18,MATCH(Summary!AE$1,'RA10-Codisposal Slopes'!$A$9:$BN$9,1),FALSE),0)+IFERROR(VLOOKUP($B22,'IA1-Final Void inc Ramps'!$A$11:$BN$18,MATCH(Summary!AE$1,'IA1-Final Void inc Ramps'!$A$9:$BN$9,1),FALSE),0)</f>
        <v>0</v>
      </c>
      <c r="AF22" s="51">
        <f>IFERROR(VLOOKUP($B22,'RA1- Elevated Dumps Upper'!$A$11:$BN$18,MATCH(Summary!AF$1,'RA1- Elevated Dumps Upper'!$A$9:$BN$9,1),FALSE),0)+IFERROR(VLOOKUP($B22,'RA2-Elevated Dumps Slopes'!$A$11:$BN$18,MATCH(Summary!AF$1,'RA2-Elevated Dumps Slopes'!$A$9:$BN$9,1),FALSE),0)+IFERROR(VLOOKUP($B22,'RA3-Backfilled Pits'!$A$11:$BN$18,MATCH(Summary!AF$1,'RA3-Backfilled Pits'!$A$9:$BN$9,1),FALSE),0)+IFERROR(VLOOKUP($B22,'RA4-Tracks_Roads'!$A$11:$BN$18,MATCH(Summary!AF$1,'RA4-Tracks_Roads'!$A$9:$BN$9,1),FALSE),0)+IFERROR(VLOOKUP($B22,'RA5-ROM'!$A$11:$BN$18,MATCH(Summary!AF$1,'RA5-ROM'!$A$9:$BN$9,1),FALSE),0)+IFERROR(VLOOKUP($B22,'RA6-CHPP'!$A$11:$BN$18,MATCH(Summary!AF$1,'RA6-CHPP'!$A$9:$BN$9,1),FALSE),0)+IFERROR(VLOOKUP($B22,'RA7-Mine Infrastructure Area'!$A$11:$BN$18,MATCH(Summary!AF$1,'RA7-Mine Infrastructure Area'!$A$9:$BN$9,1),FALSE),0)+IFERROR(VLOOKUP($B22,'RA8-Water Management Structures'!$A$11:$BN$18,MATCH(Summary!AF$1,'RA8-Water Management Structures'!$A$9:$BN$9,1),FALSE),0)+IFERROR(VLOOKUP($B22,'RA9-Codisposal Upper'!$A$11:$BN$18,MATCH(Summary!AF$1,'RA9-Codisposal Upper'!$A$9:$BN$9,1),FALSE),0)+IFERROR(VLOOKUP($B22,'RA10-Codisposal Slopes'!$A$11:$BN$18,MATCH(Summary!AF$1,'RA10-Codisposal Slopes'!$A$9:$BN$9,1),FALSE),0)+IFERROR(VLOOKUP($B22,'IA1-Final Void inc Ramps'!$A$11:$BN$18,MATCH(Summary!AF$1,'IA1-Final Void inc Ramps'!$A$9:$BN$9,1),FALSE),0)</f>
        <v>0</v>
      </c>
      <c r="AG22" s="51">
        <f>IFERROR(VLOOKUP($B22,'RA1- Elevated Dumps Upper'!$A$11:$BN$18,MATCH(Summary!AG$1,'RA1- Elevated Dumps Upper'!$A$9:$BN$9,1),FALSE),0)+IFERROR(VLOOKUP($B22,'RA2-Elevated Dumps Slopes'!$A$11:$BN$18,MATCH(Summary!AG$1,'RA2-Elevated Dumps Slopes'!$A$9:$BN$9,1),FALSE),0)+IFERROR(VLOOKUP($B22,'RA3-Backfilled Pits'!$A$11:$BN$18,MATCH(Summary!AG$1,'RA3-Backfilled Pits'!$A$9:$BN$9,1),FALSE),0)+IFERROR(VLOOKUP($B22,'RA4-Tracks_Roads'!$A$11:$BN$18,MATCH(Summary!AG$1,'RA4-Tracks_Roads'!$A$9:$BN$9,1),FALSE),0)+IFERROR(VLOOKUP($B22,'RA5-ROM'!$A$11:$BN$18,MATCH(Summary!AG$1,'RA5-ROM'!$A$9:$BN$9,1),FALSE),0)+IFERROR(VLOOKUP($B22,'RA6-CHPP'!$A$11:$BN$18,MATCH(Summary!AG$1,'RA6-CHPP'!$A$9:$BN$9,1),FALSE),0)+IFERROR(VLOOKUP($B22,'RA7-Mine Infrastructure Area'!$A$11:$BN$18,MATCH(Summary!AG$1,'RA7-Mine Infrastructure Area'!$A$9:$BN$9,1),FALSE),0)+IFERROR(VLOOKUP($B22,'RA8-Water Management Structures'!$A$11:$BN$18,MATCH(Summary!AG$1,'RA8-Water Management Structures'!$A$9:$BN$9,1),FALSE),0)+IFERROR(VLOOKUP($B22,'RA9-Codisposal Upper'!$A$11:$BN$18,MATCH(Summary!AG$1,'RA9-Codisposal Upper'!$A$9:$BN$9,1),FALSE),0)+IFERROR(VLOOKUP($B22,'RA10-Codisposal Slopes'!$A$11:$BN$18,MATCH(Summary!AG$1,'RA10-Codisposal Slopes'!$A$9:$BN$9,1),FALSE),0)+IFERROR(VLOOKUP($B22,'IA1-Final Void inc Ramps'!$A$11:$BN$18,MATCH(Summary!AG$1,'IA1-Final Void inc Ramps'!$A$9:$BN$9,1),FALSE),0)</f>
        <v>0</v>
      </c>
      <c r="AH22" s="51">
        <f>IFERROR(VLOOKUP($B22,'RA1- Elevated Dumps Upper'!$A$11:$BN$18,MATCH(Summary!AH$1,'RA1- Elevated Dumps Upper'!$A$9:$BN$9,1),FALSE),0)+IFERROR(VLOOKUP($B22,'RA2-Elevated Dumps Slopes'!$A$11:$BN$18,MATCH(Summary!AH$1,'RA2-Elevated Dumps Slopes'!$A$9:$BN$9,1),FALSE),0)+IFERROR(VLOOKUP($B22,'RA3-Backfilled Pits'!$A$11:$BN$18,MATCH(Summary!AH$1,'RA3-Backfilled Pits'!$A$9:$BN$9,1),FALSE),0)+IFERROR(VLOOKUP($B22,'RA4-Tracks_Roads'!$A$11:$BN$18,MATCH(Summary!AH$1,'RA4-Tracks_Roads'!$A$9:$BN$9,1),FALSE),0)+IFERROR(VLOOKUP($B22,'RA5-ROM'!$A$11:$BN$18,MATCH(Summary!AH$1,'RA5-ROM'!$A$9:$BN$9,1),FALSE),0)+IFERROR(VLOOKUP($B22,'RA6-CHPP'!$A$11:$BN$18,MATCH(Summary!AH$1,'RA6-CHPP'!$A$9:$BN$9,1),FALSE),0)+IFERROR(VLOOKUP($B22,'RA7-Mine Infrastructure Area'!$A$11:$BN$18,MATCH(Summary!AH$1,'RA7-Mine Infrastructure Area'!$A$9:$BN$9,1),FALSE),0)+IFERROR(VLOOKUP($B22,'RA8-Water Management Structures'!$A$11:$BN$18,MATCH(Summary!AH$1,'RA8-Water Management Structures'!$A$9:$BN$9,1),FALSE),0)+IFERROR(VLOOKUP($B22,'RA9-Codisposal Upper'!$A$11:$BN$18,MATCH(Summary!AH$1,'RA9-Codisposal Upper'!$A$9:$BN$9,1),FALSE),0)+IFERROR(VLOOKUP($B22,'RA10-Codisposal Slopes'!$A$11:$BN$18,MATCH(Summary!AH$1,'RA10-Codisposal Slopes'!$A$9:$BN$9,1),FALSE),0)+IFERROR(VLOOKUP($B22,'IA1-Final Void inc Ramps'!$A$11:$BN$18,MATCH(Summary!AH$1,'IA1-Final Void inc Ramps'!$A$9:$BN$9,1),FALSE),0)</f>
        <v>40</v>
      </c>
      <c r="AI22" s="51">
        <f>IFERROR(VLOOKUP($B22,'RA1- Elevated Dumps Upper'!$A$11:$BN$18,MATCH(Summary!AI$1,'RA1- Elevated Dumps Upper'!$A$9:$BN$9,1),FALSE),0)+IFERROR(VLOOKUP($B22,'RA2-Elevated Dumps Slopes'!$A$11:$BN$18,MATCH(Summary!AI$1,'RA2-Elevated Dumps Slopes'!$A$9:$BN$9,1),FALSE),0)+IFERROR(VLOOKUP($B22,'RA3-Backfilled Pits'!$A$11:$BN$18,MATCH(Summary!AI$1,'RA3-Backfilled Pits'!$A$9:$BN$9,1),FALSE),0)+IFERROR(VLOOKUP($B22,'RA4-Tracks_Roads'!$A$11:$BN$18,MATCH(Summary!AI$1,'RA4-Tracks_Roads'!$A$9:$BN$9,1),FALSE),0)+IFERROR(VLOOKUP($B22,'RA5-ROM'!$A$11:$BN$18,MATCH(Summary!AI$1,'RA5-ROM'!$A$9:$BN$9,1),FALSE),0)+IFERROR(VLOOKUP($B22,'RA6-CHPP'!$A$11:$BN$18,MATCH(Summary!AI$1,'RA6-CHPP'!$A$9:$BN$9,1),FALSE),0)+IFERROR(VLOOKUP($B22,'RA7-Mine Infrastructure Area'!$A$11:$BN$18,MATCH(Summary!AI$1,'RA7-Mine Infrastructure Area'!$A$9:$BN$9,1),FALSE),0)+IFERROR(VLOOKUP($B22,'RA8-Water Management Structures'!$A$11:$BN$18,MATCH(Summary!AI$1,'RA8-Water Management Structures'!$A$9:$BN$9,1),FALSE),0)+IFERROR(VLOOKUP($B22,'RA9-Codisposal Upper'!$A$11:$BN$18,MATCH(Summary!AI$1,'RA9-Codisposal Upper'!$A$9:$BN$9,1),FALSE),0)+IFERROR(VLOOKUP($B22,'RA10-Codisposal Slopes'!$A$11:$BN$18,MATCH(Summary!AI$1,'RA10-Codisposal Slopes'!$A$9:$BN$9,1),FALSE),0)+IFERROR(VLOOKUP($B22,'IA1-Final Void inc Ramps'!$A$11:$BN$18,MATCH(Summary!AI$1,'IA1-Final Void inc Ramps'!$A$9:$BN$9,1),FALSE),0)</f>
        <v>40</v>
      </c>
      <c r="AJ22" s="51">
        <f>IFERROR(VLOOKUP($B22,'RA1- Elevated Dumps Upper'!$A$11:$BN$18,MATCH(Summary!AJ$1,'RA1- Elevated Dumps Upper'!$A$9:$BN$9,1),FALSE),0)+IFERROR(VLOOKUP($B22,'RA2-Elevated Dumps Slopes'!$A$11:$BN$18,MATCH(Summary!AJ$1,'RA2-Elevated Dumps Slopes'!$A$9:$BN$9,1),FALSE),0)+IFERROR(VLOOKUP($B22,'RA3-Backfilled Pits'!$A$11:$BN$18,MATCH(Summary!AJ$1,'RA3-Backfilled Pits'!$A$9:$BN$9,1),FALSE),0)+IFERROR(VLOOKUP($B22,'RA4-Tracks_Roads'!$A$11:$BN$18,MATCH(Summary!AJ$1,'RA4-Tracks_Roads'!$A$9:$BN$9,1),FALSE),0)+IFERROR(VLOOKUP($B22,'RA5-ROM'!$A$11:$BN$18,MATCH(Summary!AJ$1,'RA5-ROM'!$A$9:$BN$9,1),FALSE),0)+IFERROR(VLOOKUP($B22,'RA6-CHPP'!$A$11:$BN$18,MATCH(Summary!AJ$1,'RA6-CHPP'!$A$9:$BN$9,1),FALSE),0)+IFERROR(VLOOKUP($B22,'RA7-Mine Infrastructure Area'!$A$11:$BN$18,MATCH(Summary!AJ$1,'RA7-Mine Infrastructure Area'!$A$9:$BN$9,1),FALSE),0)+IFERROR(VLOOKUP($B22,'RA8-Water Management Structures'!$A$11:$BN$18,MATCH(Summary!AJ$1,'RA8-Water Management Structures'!$A$9:$BN$9,1),FALSE),0)+IFERROR(VLOOKUP($B22,'RA9-Codisposal Upper'!$A$11:$BN$18,MATCH(Summary!AJ$1,'RA9-Codisposal Upper'!$A$9:$BN$9,1),FALSE),0)+IFERROR(VLOOKUP($B22,'RA10-Codisposal Slopes'!$A$11:$BN$18,MATCH(Summary!AJ$1,'RA10-Codisposal Slopes'!$A$9:$BN$9,1),FALSE),0)+IFERROR(VLOOKUP($B22,'IA1-Final Void inc Ramps'!$A$11:$BN$18,MATCH(Summary!AJ$1,'IA1-Final Void inc Ramps'!$A$9:$BN$9,1),FALSE),0)</f>
        <v>40</v>
      </c>
      <c r="AK22" s="51">
        <f>IFERROR(VLOOKUP($B22,'RA1- Elevated Dumps Upper'!$A$11:$BN$18,MATCH(Summary!AK$1,'RA1- Elevated Dumps Upper'!$A$9:$BN$9,1),FALSE),0)+IFERROR(VLOOKUP($B22,'RA2-Elevated Dumps Slopes'!$A$11:$BN$18,MATCH(Summary!AK$1,'RA2-Elevated Dumps Slopes'!$A$9:$BN$9,1),FALSE),0)+IFERROR(VLOOKUP($B22,'RA3-Backfilled Pits'!$A$11:$BN$18,MATCH(Summary!AK$1,'RA3-Backfilled Pits'!$A$9:$BN$9,1),FALSE),0)+IFERROR(VLOOKUP($B22,'RA4-Tracks_Roads'!$A$11:$BN$18,MATCH(Summary!AK$1,'RA4-Tracks_Roads'!$A$9:$BN$9,1),FALSE),0)+IFERROR(VLOOKUP($B22,'RA5-ROM'!$A$11:$BN$18,MATCH(Summary!AK$1,'RA5-ROM'!$A$9:$BN$9,1),FALSE),0)+IFERROR(VLOOKUP($B22,'RA6-CHPP'!$A$11:$BN$18,MATCH(Summary!AK$1,'RA6-CHPP'!$A$9:$BN$9,1),FALSE),0)+IFERROR(VLOOKUP($B22,'RA7-Mine Infrastructure Area'!$A$11:$BN$18,MATCH(Summary!AK$1,'RA7-Mine Infrastructure Area'!$A$9:$BN$9,1),FALSE),0)+IFERROR(VLOOKUP($B22,'RA8-Water Management Structures'!$A$11:$BN$18,MATCH(Summary!AK$1,'RA8-Water Management Structures'!$A$9:$BN$9,1),FALSE),0)+IFERROR(VLOOKUP($B22,'RA9-Codisposal Upper'!$A$11:$BN$18,MATCH(Summary!AK$1,'RA9-Codisposal Upper'!$A$9:$BN$9,1),FALSE),0)+IFERROR(VLOOKUP($B22,'RA10-Codisposal Slopes'!$A$11:$BN$18,MATCH(Summary!AK$1,'RA10-Codisposal Slopes'!$A$9:$BN$9,1),FALSE),0)+IFERROR(VLOOKUP($B22,'IA1-Final Void inc Ramps'!$A$11:$BN$18,MATCH(Summary!AK$1,'IA1-Final Void inc Ramps'!$A$9:$BN$9,1),FALSE),0)</f>
        <v>40</v>
      </c>
      <c r="AL22" s="51">
        <f>IFERROR(VLOOKUP($B22,'RA1- Elevated Dumps Upper'!$A$11:$BN$18,MATCH(Summary!AL$1,'RA1- Elevated Dumps Upper'!$A$9:$BN$9,1),FALSE),0)+IFERROR(VLOOKUP($B22,'RA2-Elevated Dumps Slopes'!$A$11:$BN$18,MATCH(Summary!AL$1,'RA2-Elevated Dumps Slopes'!$A$9:$BN$9,1),FALSE),0)+IFERROR(VLOOKUP($B22,'RA3-Backfilled Pits'!$A$11:$BN$18,MATCH(Summary!AL$1,'RA3-Backfilled Pits'!$A$9:$BN$9,1),FALSE),0)+IFERROR(VLOOKUP($B22,'RA4-Tracks_Roads'!$A$11:$BN$18,MATCH(Summary!AL$1,'RA4-Tracks_Roads'!$A$9:$BN$9,1),FALSE),0)+IFERROR(VLOOKUP($B22,'RA5-ROM'!$A$11:$BN$18,MATCH(Summary!AL$1,'RA5-ROM'!$A$9:$BN$9,1),FALSE),0)+IFERROR(VLOOKUP($B22,'RA6-CHPP'!$A$11:$BN$18,MATCH(Summary!AL$1,'RA6-CHPP'!$A$9:$BN$9,1),FALSE),0)+IFERROR(VLOOKUP($B22,'RA7-Mine Infrastructure Area'!$A$11:$BN$18,MATCH(Summary!AL$1,'RA7-Mine Infrastructure Area'!$A$9:$BN$9,1),FALSE),0)+IFERROR(VLOOKUP($B22,'RA8-Water Management Structures'!$A$11:$BN$18,MATCH(Summary!AL$1,'RA8-Water Management Structures'!$A$9:$BN$9,1),FALSE),0)+IFERROR(VLOOKUP($B22,'RA9-Codisposal Upper'!$A$11:$BN$18,MATCH(Summary!AL$1,'RA9-Codisposal Upper'!$A$9:$BN$9,1),FALSE),0)+IFERROR(VLOOKUP($B22,'RA10-Codisposal Slopes'!$A$11:$BN$18,MATCH(Summary!AL$1,'RA10-Codisposal Slopes'!$A$9:$BN$9,1),FALSE),0)+IFERROR(VLOOKUP($B22,'IA1-Final Void inc Ramps'!$A$11:$BN$18,MATCH(Summary!AL$1,'IA1-Final Void inc Ramps'!$A$9:$BN$9,1),FALSE),0)</f>
        <v>40</v>
      </c>
      <c r="AM22" s="51">
        <f>IFERROR(VLOOKUP($B22,'RA1- Elevated Dumps Upper'!$A$11:$BN$18,MATCH(Summary!AM$1,'RA1- Elevated Dumps Upper'!$A$9:$BN$9,1),FALSE),0)+IFERROR(VLOOKUP($B22,'RA2-Elevated Dumps Slopes'!$A$11:$BN$18,MATCH(Summary!AM$1,'RA2-Elevated Dumps Slopes'!$A$9:$BN$9,1),FALSE),0)+IFERROR(VLOOKUP($B22,'RA3-Backfilled Pits'!$A$11:$BN$18,MATCH(Summary!AM$1,'RA3-Backfilled Pits'!$A$9:$BN$9,1),FALSE),0)+IFERROR(VLOOKUP($B22,'RA4-Tracks_Roads'!$A$11:$BN$18,MATCH(Summary!AM$1,'RA4-Tracks_Roads'!$A$9:$BN$9,1),FALSE),0)+IFERROR(VLOOKUP($B22,'RA5-ROM'!$A$11:$BN$18,MATCH(Summary!AM$1,'RA5-ROM'!$A$9:$BN$9,1),FALSE),0)+IFERROR(VLOOKUP($B22,'RA6-CHPP'!$A$11:$BN$18,MATCH(Summary!AM$1,'RA6-CHPP'!$A$9:$BN$9,1),FALSE),0)+IFERROR(VLOOKUP($B22,'RA7-Mine Infrastructure Area'!$A$11:$BN$18,MATCH(Summary!AM$1,'RA7-Mine Infrastructure Area'!$A$9:$BN$9,1),FALSE),0)+IFERROR(VLOOKUP($B22,'RA8-Water Management Structures'!$A$11:$BN$18,MATCH(Summary!AM$1,'RA8-Water Management Structures'!$A$9:$BN$9,1),FALSE),0)+IFERROR(VLOOKUP($B22,'RA9-Codisposal Upper'!$A$11:$BN$18,MATCH(Summary!AM$1,'RA9-Codisposal Upper'!$A$9:$BN$9,1),FALSE),0)+IFERROR(VLOOKUP($B22,'RA10-Codisposal Slopes'!$A$11:$BN$18,MATCH(Summary!AM$1,'RA10-Codisposal Slopes'!$A$9:$BN$9,1),FALSE),0)+IFERROR(VLOOKUP($B22,'IA1-Final Void inc Ramps'!$A$11:$BN$18,MATCH(Summary!AM$1,'IA1-Final Void inc Ramps'!$A$9:$BN$9,1),FALSE),0)</f>
        <v>182</v>
      </c>
      <c r="AN22" s="51">
        <f>IFERROR(VLOOKUP($B22,'RA1- Elevated Dumps Upper'!$A$11:$BN$18,MATCH(Summary!AN$1,'RA1- Elevated Dumps Upper'!$A$9:$BN$9,1),FALSE),0)+IFERROR(VLOOKUP($B22,'RA2-Elevated Dumps Slopes'!$A$11:$BN$18,MATCH(Summary!AN$1,'RA2-Elevated Dumps Slopes'!$A$9:$BN$9,1),FALSE),0)+IFERROR(VLOOKUP($B22,'RA3-Backfilled Pits'!$A$11:$BN$18,MATCH(Summary!AN$1,'RA3-Backfilled Pits'!$A$9:$BN$9,1),FALSE),0)+IFERROR(VLOOKUP($B22,'RA4-Tracks_Roads'!$A$11:$BN$18,MATCH(Summary!AN$1,'RA4-Tracks_Roads'!$A$9:$BN$9,1),FALSE),0)+IFERROR(VLOOKUP($B22,'RA5-ROM'!$A$11:$BN$18,MATCH(Summary!AN$1,'RA5-ROM'!$A$9:$BN$9,1),FALSE),0)+IFERROR(VLOOKUP($B22,'RA6-CHPP'!$A$11:$BN$18,MATCH(Summary!AN$1,'RA6-CHPP'!$A$9:$BN$9,1),FALSE),0)+IFERROR(VLOOKUP($B22,'RA7-Mine Infrastructure Area'!$A$11:$BN$18,MATCH(Summary!AN$1,'RA7-Mine Infrastructure Area'!$A$9:$BN$9,1),FALSE),0)+IFERROR(VLOOKUP($B22,'RA8-Water Management Structures'!$A$11:$BN$18,MATCH(Summary!AN$1,'RA8-Water Management Structures'!$A$9:$BN$9,1),FALSE),0)+IFERROR(VLOOKUP($B22,'RA9-Codisposal Upper'!$A$11:$BN$18,MATCH(Summary!AN$1,'RA9-Codisposal Upper'!$A$9:$BN$9,1),FALSE),0)+IFERROR(VLOOKUP($B22,'RA10-Codisposal Slopes'!$A$11:$BN$18,MATCH(Summary!AN$1,'RA10-Codisposal Slopes'!$A$9:$BN$9,1),FALSE),0)+IFERROR(VLOOKUP($B22,'IA1-Final Void inc Ramps'!$A$11:$BN$18,MATCH(Summary!AN$1,'IA1-Final Void inc Ramps'!$A$9:$BN$9,1),FALSE),0)</f>
        <v>182</v>
      </c>
      <c r="AO22" s="51">
        <f>IFERROR(VLOOKUP($B22,'RA1- Elevated Dumps Upper'!$A$11:$BN$18,MATCH(Summary!AO$1,'RA1- Elevated Dumps Upper'!$A$9:$BN$9,1),FALSE),0)+IFERROR(VLOOKUP($B22,'RA2-Elevated Dumps Slopes'!$A$11:$BN$18,MATCH(Summary!AO$1,'RA2-Elevated Dumps Slopes'!$A$9:$BN$9,1),FALSE),0)+IFERROR(VLOOKUP($B22,'RA3-Backfilled Pits'!$A$11:$BN$18,MATCH(Summary!AO$1,'RA3-Backfilled Pits'!$A$9:$BN$9,1),FALSE),0)+IFERROR(VLOOKUP($B22,'RA4-Tracks_Roads'!$A$11:$BN$18,MATCH(Summary!AO$1,'RA4-Tracks_Roads'!$A$9:$BN$9,1),FALSE),0)+IFERROR(VLOOKUP($B22,'RA5-ROM'!$A$11:$BN$18,MATCH(Summary!AO$1,'RA5-ROM'!$A$9:$BN$9,1),FALSE),0)+IFERROR(VLOOKUP($B22,'RA6-CHPP'!$A$11:$BN$18,MATCH(Summary!AO$1,'RA6-CHPP'!$A$9:$BN$9,1),FALSE),0)+IFERROR(VLOOKUP($B22,'RA7-Mine Infrastructure Area'!$A$11:$BN$18,MATCH(Summary!AO$1,'RA7-Mine Infrastructure Area'!$A$9:$BN$9,1),FALSE),0)+IFERROR(VLOOKUP($B22,'RA8-Water Management Structures'!$A$11:$BN$18,MATCH(Summary!AO$1,'RA8-Water Management Structures'!$A$9:$BN$9,1),FALSE),0)+IFERROR(VLOOKUP($B22,'RA9-Codisposal Upper'!$A$11:$BN$18,MATCH(Summary!AO$1,'RA9-Codisposal Upper'!$A$9:$BN$9,1),FALSE),0)+IFERROR(VLOOKUP($B22,'RA10-Codisposal Slopes'!$A$11:$BN$18,MATCH(Summary!AO$1,'RA10-Codisposal Slopes'!$A$9:$BN$9,1),FALSE),0)+IFERROR(VLOOKUP($B22,'IA1-Final Void inc Ramps'!$A$11:$BN$18,MATCH(Summary!AO$1,'IA1-Final Void inc Ramps'!$A$9:$BN$9,1),FALSE),0)</f>
        <v>182</v>
      </c>
      <c r="AP22" s="51">
        <f>IFERROR(VLOOKUP($B22,'RA1- Elevated Dumps Upper'!$A$11:$BN$18,MATCH(Summary!AP$1,'RA1- Elevated Dumps Upper'!$A$9:$BN$9,1),FALSE),0)+IFERROR(VLOOKUP($B22,'RA2-Elevated Dumps Slopes'!$A$11:$BN$18,MATCH(Summary!AP$1,'RA2-Elevated Dumps Slopes'!$A$9:$BN$9,1),FALSE),0)+IFERROR(VLOOKUP($B22,'RA3-Backfilled Pits'!$A$11:$BN$18,MATCH(Summary!AP$1,'RA3-Backfilled Pits'!$A$9:$BN$9,1),FALSE),0)+IFERROR(VLOOKUP($B22,'RA4-Tracks_Roads'!$A$11:$BN$18,MATCH(Summary!AP$1,'RA4-Tracks_Roads'!$A$9:$BN$9,1),FALSE),0)+IFERROR(VLOOKUP($B22,'RA5-ROM'!$A$11:$BN$18,MATCH(Summary!AP$1,'RA5-ROM'!$A$9:$BN$9,1),FALSE),0)+IFERROR(VLOOKUP($B22,'RA6-CHPP'!$A$11:$BN$18,MATCH(Summary!AP$1,'RA6-CHPP'!$A$9:$BN$9,1),FALSE),0)+IFERROR(VLOOKUP($B22,'RA7-Mine Infrastructure Area'!$A$11:$BN$18,MATCH(Summary!AP$1,'RA7-Mine Infrastructure Area'!$A$9:$BN$9,1),FALSE),0)+IFERROR(VLOOKUP($B22,'RA8-Water Management Structures'!$A$11:$BN$18,MATCH(Summary!AP$1,'RA8-Water Management Structures'!$A$9:$BN$9,1),FALSE),0)+IFERROR(VLOOKUP($B22,'RA9-Codisposal Upper'!$A$11:$BN$18,MATCH(Summary!AP$1,'RA9-Codisposal Upper'!$A$9:$BN$9,1),FALSE),0)+IFERROR(VLOOKUP($B22,'RA10-Codisposal Slopes'!$A$11:$BN$18,MATCH(Summary!AP$1,'RA10-Codisposal Slopes'!$A$9:$BN$9,1),FALSE),0)+IFERROR(VLOOKUP($B22,'IA1-Final Void inc Ramps'!$A$11:$BN$18,MATCH(Summary!AP$1,'IA1-Final Void inc Ramps'!$A$9:$BN$9,1),FALSE),0)</f>
        <v>182</v>
      </c>
      <c r="AQ22" s="51">
        <f>IFERROR(VLOOKUP($B22,'RA1- Elevated Dumps Upper'!$A$11:$BN$18,MATCH(Summary!AQ$1,'RA1- Elevated Dumps Upper'!$A$9:$BN$9,1),FALSE),0)+IFERROR(VLOOKUP($B22,'RA2-Elevated Dumps Slopes'!$A$11:$BN$18,MATCH(Summary!AQ$1,'RA2-Elevated Dumps Slopes'!$A$9:$BN$9,1),FALSE),0)+IFERROR(VLOOKUP($B22,'RA3-Backfilled Pits'!$A$11:$BN$18,MATCH(Summary!AQ$1,'RA3-Backfilled Pits'!$A$9:$BN$9,1),FALSE),0)+IFERROR(VLOOKUP($B22,'RA4-Tracks_Roads'!$A$11:$BN$18,MATCH(Summary!AQ$1,'RA4-Tracks_Roads'!$A$9:$BN$9,1),FALSE),0)+IFERROR(VLOOKUP($B22,'RA5-ROM'!$A$11:$BN$18,MATCH(Summary!AQ$1,'RA5-ROM'!$A$9:$BN$9,1),FALSE),0)+IFERROR(VLOOKUP($B22,'RA6-CHPP'!$A$11:$BN$18,MATCH(Summary!AQ$1,'RA6-CHPP'!$A$9:$BN$9,1),FALSE),0)+IFERROR(VLOOKUP($B22,'RA7-Mine Infrastructure Area'!$A$11:$BN$18,MATCH(Summary!AQ$1,'RA7-Mine Infrastructure Area'!$A$9:$BN$9,1),FALSE),0)+IFERROR(VLOOKUP($B22,'RA8-Water Management Structures'!$A$11:$BN$18,MATCH(Summary!AQ$1,'RA8-Water Management Structures'!$A$9:$BN$9,1),FALSE),0)+IFERROR(VLOOKUP($B22,'RA9-Codisposal Upper'!$A$11:$BN$18,MATCH(Summary!AQ$1,'RA9-Codisposal Upper'!$A$9:$BN$9,1),FALSE),0)+IFERROR(VLOOKUP($B22,'RA10-Codisposal Slopes'!$A$11:$BN$18,MATCH(Summary!AQ$1,'RA10-Codisposal Slopes'!$A$9:$BN$9,1),FALSE),0)+IFERROR(VLOOKUP($B22,'IA1-Final Void inc Ramps'!$A$11:$BN$18,MATCH(Summary!AQ$1,'IA1-Final Void inc Ramps'!$A$9:$BN$9,1),FALSE),0)</f>
        <v>725</v>
      </c>
      <c r="AR22" s="51">
        <f>IFERROR(VLOOKUP($B22,'RA1- Elevated Dumps Upper'!$A$11:$BN$18,MATCH(Summary!AR$1,'RA1- Elevated Dumps Upper'!$A$9:$BN$9,1),FALSE),0)+IFERROR(VLOOKUP($B22,'RA2-Elevated Dumps Slopes'!$A$11:$BN$18,MATCH(Summary!AR$1,'RA2-Elevated Dumps Slopes'!$A$9:$BN$9,1),FALSE),0)+IFERROR(VLOOKUP($B22,'RA3-Backfilled Pits'!$A$11:$BN$18,MATCH(Summary!AR$1,'RA3-Backfilled Pits'!$A$9:$BN$9,1),FALSE),0)+IFERROR(VLOOKUP($B22,'RA4-Tracks_Roads'!$A$11:$BN$18,MATCH(Summary!AR$1,'RA4-Tracks_Roads'!$A$9:$BN$9,1),FALSE),0)+IFERROR(VLOOKUP($B22,'RA5-ROM'!$A$11:$BN$18,MATCH(Summary!AR$1,'RA5-ROM'!$A$9:$BN$9,1),FALSE),0)+IFERROR(VLOOKUP($B22,'RA6-CHPP'!$A$11:$BN$18,MATCH(Summary!AR$1,'RA6-CHPP'!$A$9:$BN$9,1),FALSE),0)+IFERROR(VLOOKUP($B22,'RA7-Mine Infrastructure Area'!$A$11:$BN$18,MATCH(Summary!AR$1,'RA7-Mine Infrastructure Area'!$A$9:$BN$9,1),FALSE),0)+IFERROR(VLOOKUP($B22,'RA8-Water Management Structures'!$A$11:$BN$18,MATCH(Summary!AR$1,'RA8-Water Management Structures'!$A$9:$BN$9,1),FALSE),0)+IFERROR(VLOOKUP($B22,'RA9-Codisposal Upper'!$A$11:$BN$18,MATCH(Summary!AR$1,'RA9-Codisposal Upper'!$A$9:$BN$9,1),FALSE),0)+IFERROR(VLOOKUP($B22,'RA10-Codisposal Slopes'!$A$11:$BN$18,MATCH(Summary!AR$1,'RA10-Codisposal Slopes'!$A$9:$BN$9,1),FALSE),0)+IFERROR(VLOOKUP($B22,'IA1-Final Void inc Ramps'!$A$11:$BN$18,MATCH(Summary!AR$1,'IA1-Final Void inc Ramps'!$A$9:$BN$9,1),FALSE),0)</f>
        <v>725</v>
      </c>
      <c r="AS22" s="51">
        <f>IFERROR(VLOOKUP($B22,'RA1- Elevated Dumps Upper'!$A$11:$BN$18,MATCH(Summary!AS$1,'RA1- Elevated Dumps Upper'!$A$9:$BN$9,1),FALSE),0)+IFERROR(VLOOKUP($B22,'RA2-Elevated Dumps Slopes'!$A$11:$BN$18,MATCH(Summary!AS$1,'RA2-Elevated Dumps Slopes'!$A$9:$BN$9,1),FALSE),0)+IFERROR(VLOOKUP($B22,'RA3-Backfilled Pits'!$A$11:$BN$18,MATCH(Summary!AS$1,'RA3-Backfilled Pits'!$A$9:$BN$9,1),FALSE),0)+IFERROR(VLOOKUP($B22,'RA4-Tracks_Roads'!$A$11:$BN$18,MATCH(Summary!AS$1,'RA4-Tracks_Roads'!$A$9:$BN$9,1),FALSE),0)+IFERROR(VLOOKUP($B22,'RA5-ROM'!$A$11:$BN$18,MATCH(Summary!AS$1,'RA5-ROM'!$A$9:$BN$9,1),FALSE),0)+IFERROR(VLOOKUP($B22,'RA6-CHPP'!$A$11:$BN$18,MATCH(Summary!AS$1,'RA6-CHPP'!$A$9:$BN$9,1),FALSE),0)+IFERROR(VLOOKUP($B22,'RA7-Mine Infrastructure Area'!$A$11:$BN$18,MATCH(Summary!AS$1,'RA7-Mine Infrastructure Area'!$A$9:$BN$9,1),FALSE),0)+IFERROR(VLOOKUP($B22,'RA8-Water Management Structures'!$A$11:$BN$18,MATCH(Summary!AS$1,'RA8-Water Management Structures'!$A$9:$BN$9,1),FALSE),0)+IFERROR(VLOOKUP($B22,'RA9-Codisposal Upper'!$A$11:$BN$18,MATCH(Summary!AS$1,'RA9-Codisposal Upper'!$A$9:$BN$9,1),FALSE),0)+IFERROR(VLOOKUP($B22,'RA10-Codisposal Slopes'!$A$11:$BN$18,MATCH(Summary!AS$1,'RA10-Codisposal Slopes'!$A$9:$BN$9,1),FALSE),0)+IFERROR(VLOOKUP($B22,'IA1-Final Void inc Ramps'!$A$11:$BN$18,MATCH(Summary!AS$1,'IA1-Final Void inc Ramps'!$A$9:$BN$9,1),FALSE),0)</f>
        <v>791</v>
      </c>
      <c r="AT22" s="51">
        <f>IFERROR(VLOOKUP($B22,'RA1- Elevated Dumps Upper'!$A$11:$BN$18,MATCH(Summary!AT$1,'RA1- Elevated Dumps Upper'!$A$9:$BN$9,1),FALSE),0)+IFERROR(VLOOKUP($B22,'RA2-Elevated Dumps Slopes'!$A$11:$BN$18,MATCH(Summary!AT$1,'RA2-Elevated Dumps Slopes'!$A$9:$BN$9,1),FALSE),0)+IFERROR(VLOOKUP($B22,'RA3-Backfilled Pits'!$A$11:$BN$18,MATCH(Summary!AT$1,'RA3-Backfilled Pits'!$A$9:$BN$9,1),FALSE),0)+IFERROR(VLOOKUP($B22,'RA4-Tracks_Roads'!$A$11:$BN$18,MATCH(Summary!AT$1,'RA4-Tracks_Roads'!$A$9:$BN$9,1),FALSE),0)+IFERROR(VLOOKUP($B22,'RA5-ROM'!$A$11:$BN$18,MATCH(Summary!AT$1,'RA5-ROM'!$A$9:$BN$9,1),FALSE),0)+IFERROR(VLOOKUP($B22,'RA6-CHPP'!$A$11:$BN$18,MATCH(Summary!AT$1,'RA6-CHPP'!$A$9:$BN$9,1),FALSE),0)+IFERROR(VLOOKUP($B22,'RA7-Mine Infrastructure Area'!$A$11:$BN$18,MATCH(Summary!AT$1,'RA7-Mine Infrastructure Area'!$A$9:$BN$9,1),FALSE),0)+IFERROR(VLOOKUP($B22,'RA8-Water Management Structures'!$A$11:$BN$18,MATCH(Summary!AT$1,'RA8-Water Management Structures'!$A$9:$BN$9,1),FALSE),0)+IFERROR(VLOOKUP($B22,'RA9-Codisposal Upper'!$A$11:$BN$18,MATCH(Summary!AT$1,'RA9-Codisposal Upper'!$A$9:$BN$9,1),FALSE),0)+IFERROR(VLOOKUP($B22,'RA10-Codisposal Slopes'!$A$11:$BN$18,MATCH(Summary!AT$1,'RA10-Codisposal Slopes'!$A$9:$BN$9,1),FALSE),0)+IFERROR(VLOOKUP($B22,'IA1-Final Void inc Ramps'!$A$11:$BN$18,MATCH(Summary!AT$1,'IA1-Final Void inc Ramps'!$A$9:$BN$9,1),FALSE),0)</f>
        <v>791</v>
      </c>
      <c r="AU22" s="51">
        <f>IFERROR(VLOOKUP($B22,'RA1- Elevated Dumps Upper'!$A$11:$BN$18,MATCH(Summary!AU$1,'RA1- Elevated Dumps Upper'!$A$9:$BN$9,1),FALSE),0)+IFERROR(VLOOKUP($B22,'RA2-Elevated Dumps Slopes'!$A$11:$BN$18,MATCH(Summary!AU$1,'RA2-Elevated Dumps Slopes'!$A$9:$BN$9,1),FALSE),0)+IFERROR(VLOOKUP($B22,'RA3-Backfilled Pits'!$A$11:$BN$18,MATCH(Summary!AU$1,'RA3-Backfilled Pits'!$A$9:$BN$9,1),FALSE),0)+IFERROR(VLOOKUP($B22,'RA4-Tracks_Roads'!$A$11:$BN$18,MATCH(Summary!AU$1,'RA4-Tracks_Roads'!$A$9:$BN$9,1),FALSE),0)+IFERROR(VLOOKUP($B22,'RA5-ROM'!$A$11:$BN$18,MATCH(Summary!AU$1,'RA5-ROM'!$A$9:$BN$9,1),FALSE),0)+IFERROR(VLOOKUP($B22,'RA6-CHPP'!$A$11:$BN$18,MATCH(Summary!AU$1,'RA6-CHPP'!$A$9:$BN$9,1),FALSE),0)+IFERROR(VLOOKUP($B22,'RA7-Mine Infrastructure Area'!$A$11:$BN$18,MATCH(Summary!AU$1,'RA7-Mine Infrastructure Area'!$A$9:$BN$9,1),FALSE),0)+IFERROR(VLOOKUP($B22,'RA8-Water Management Structures'!$A$11:$BN$18,MATCH(Summary!AU$1,'RA8-Water Management Structures'!$A$9:$BN$9,1),FALSE),0)+IFERROR(VLOOKUP($B22,'RA9-Codisposal Upper'!$A$11:$BN$18,MATCH(Summary!AU$1,'RA9-Codisposal Upper'!$A$9:$BN$9,1),FALSE),0)+IFERROR(VLOOKUP($B22,'RA10-Codisposal Slopes'!$A$11:$BN$18,MATCH(Summary!AU$1,'RA10-Codisposal Slopes'!$A$9:$BN$9,1),FALSE),0)+IFERROR(VLOOKUP($B22,'IA1-Final Void inc Ramps'!$A$11:$BN$18,MATCH(Summary!AU$1,'IA1-Final Void inc Ramps'!$A$9:$BN$9,1),FALSE),0)</f>
        <v>791</v>
      </c>
      <c r="AV22" s="51">
        <f>IFERROR(VLOOKUP($B22,'RA1- Elevated Dumps Upper'!$A$11:$BN$18,MATCH(Summary!AV$1,'RA1- Elevated Dumps Upper'!$A$9:$BN$9,1),FALSE),0)+IFERROR(VLOOKUP($B22,'RA2-Elevated Dumps Slopes'!$A$11:$BN$18,MATCH(Summary!AV$1,'RA2-Elevated Dumps Slopes'!$A$9:$BN$9,1),FALSE),0)+IFERROR(VLOOKUP($B22,'RA3-Backfilled Pits'!$A$11:$BN$18,MATCH(Summary!AV$1,'RA3-Backfilled Pits'!$A$9:$BN$9,1),FALSE),0)+IFERROR(VLOOKUP($B22,'RA4-Tracks_Roads'!$A$11:$BN$18,MATCH(Summary!AV$1,'RA4-Tracks_Roads'!$A$9:$BN$9,1),FALSE),0)+IFERROR(VLOOKUP($B22,'RA5-ROM'!$A$11:$BN$18,MATCH(Summary!AV$1,'RA5-ROM'!$A$9:$BN$9,1),FALSE),0)+IFERROR(VLOOKUP($B22,'RA6-CHPP'!$A$11:$BN$18,MATCH(Summary!AV$1,'RA6-CHPP'!$A$9:$BN$9,1),FALSE),0)+IFERROR(VLOOKUP($B22,'RA7-Mine Infrastructure Area'!$A$11:$BN$18,MATCH(Summary!AV$1,'RA7-Mine Infrastructure Area'!$A$9:$BN$9,1),FALSE),0)+IFERROR(VLOOKUP($B22,'RA8-Water Management Structures'!$A$11:$BN$18,MATCH(Summary!AV$1,'RA8-Water Management Structures'!$A$9:$BN$9,1),FALSE),0)+IFERROR(VLOOKUP($B22,'RA9-Codisposal Upper'!$A$11:$BN$18,MATCH(Summary!AV$1,'RA9-Codisposal Upper'!$A$9:$BN$9,1),FALSE),0)+IFERROR(VLOOKUP($B22,'RA10-Codisposal Slopes'!$A$11:$BN$18,MATCH(Summary!AV$1,'RA10-Codisposal Slopes'!$A$9:$BN$9,1),FALSE),0)+IFERROR(VLOOKUP($B22,'IA1-Final Void inc Ramps'!$A$11:$BN$18,MATCH(Summary!AV$1,'IA1-Final Void inc Ramps'!$A$9:$BN$9,1),FALSE),0)</f>
        <v>791</v>
      </c>
      <c r="AW22" s="51">
        <f>IFERROR(VLOOKUP($B22,'RA1- Elevated Dumps Upper'!$A$11:$BN$18,MATCH(Summary!AW$1,'RA1- Elevated Dumps Upper'!$A$9:$BN$9,1),FALSE),0)+IFERROR(VLOOKUP($B22,'RA2-Elevated Dumps Slopes'!$A$11:$BN$18,MATCH(Summary!AW$1,'RA2-Elevated Dumps Slopes'!$A$9:$BN$9,1),FALSE),0)+IFERROR(VLOOKUP($B22,'RA3-Backfilled Pits'!$A$11:$BN$18,MATCH(Summary!AW$1,'RA3-Backfilled Pits'!$A$9:$BN$9,1),FALSE),0)+IFERROR(VLOOKUP($B22,'RA4-Tracks_Roads'!$A$11:$BN$18,MATCH(Summary!AW$1,'RA4-Tracks_Roads'!$A$9:$BN$9,1),FALSE),0)+IFERROR(VLOOKUP($B22,'RA5-ROM'!$A$11:$BN$18,MATCH(Summary!AW$1,'RA5-ROM'!$A$9:$BN$9,1),FALSE),0)+IFERROR(VLOOKUP($B22,'RA6-CHPP'!$A$11:$BN$18,MATCH(Summary!AW$1,'RA6-CHPP'!$A$9:$BN$9,1),FALSE),0)+IFERROR(VLOOKUP($B22,'RA7-Mine Infrastructure Area'!$A$11:$BN$18,MATCH(Summary!AW$1,'RA7-Mine Infrastructure Area'!$A$9:$BN$9,1),FALSE),0)+IFERROR(VLOOKUP($B22,'RA8-Water Management Structures'!$A$11:$BN$18,MATCH(Summary!AW$1,'RA8-Water Management Structures'!$A$9:$BN$9,1),FALSE),0)+IFERROR(VLOOKUP($B22,'RA9-Codisposal Upper'!$A$11:$BN$18,MATCH(Summary!AW$1,'RA9-Codisposal Upper'!$A$9:$BN$9,1),FALSE),0)+IFERROR(VLOOKUP($B22,'RA10-Codisposal Slopes'!$A$11:$BN$18,MATCH(Summary!AW$1,'RA10-Codisposal Slopes'!$A$9:$BN$9,1),FALSE),0)+IFERROR(VLOOKUP($B22,'IA1-Final Void inc Ramps'!$A$11:$BN$18,MATCH(Summary!AW$1,'IA1-Final Void inc Ramps'!$A$9:$BN$9,1),FALSE),0)</f>
        <v>825</v>
      </c>
      <c r="AX22" s="51">
        <f>IFERROR(VLOOKUP($B22,'RA1- Elevated Dumps Upper'!$A$11:$BN$18,MATCH(Summary!AX$1,'RA1- Elevated Dumps Upper'!$A$9:$BN$9,1),FALSE),0)+IFERROR(VLOOKUP($B22,'RA2-Elevated Dumps Slopes'!$A$11:$BN$18,MATCH(Summary!AX$1,'RA2-Elevated Dumps Slopes'!$A$9:$BN$9,1),FALSE),0)+IFERROR(VLOOKUP($B22,'RA3-Backfilled Pits'!$A$11:$BN$18,MATCH(Summary!AX$1,'RA3-Backfilled Pits'!$A$9:$BN$9,1),FALSE),0)+IFERROR(VLOOKUP($B22,'RA4-Tracks_Roads'!$A$11:$BN$18,MATCH(Summary!AX$1,'RA4-Tracks_Roads'!$A$9:$BN$9,1),FALSE),0)+IFERROR(VLOOKUP($B22,'RA5-ROM'!$A$11:$BN$18,MATCH(Summary!AX$1,'RA5-ROM'!$A$9:$BN$9,1),FALSE),0)+IFERROR(VLOOKUP($B22,'RA6-CHPP'!$A$11:$BN$18,MATCH(Summary!AX$1,'RA6-CHPP'!$A$9:$BN$9,1),FALSE),0)+IFERROR(VLOOKUP($B22,'RA7-Mine Infrastructure Area'!$A$11:$BN$18,MATCH(Summary!AX$1,'RA7-Mine Infrastructure Area'!$A$9:$BN$9,1),FALSE),0)+IFERROR(VLOOKUP($B22,'RA8-Water Management Structures'!$A$11:$BN$18,MATCH(Summary!AX$1,'RA8-Water Management Structures'!$A$9:$BN$9,1),FALSE),0)+IFERROR(VLOOKUP($B22,'RA9-Codisposal Upper'!$A$11:$BN$18,MATCH(Summary!AX$1,'RA9-Codisposal Upper'!$A$9:$BN$9,1),FALSE),0)+IFERROR(VLOOKUP($B22,'RA10-Codisposal Slopes'!$A$11:$BN$18,MATCH(Summary!AX$1,'RA10-Codisposal Slopes'!$A$9:$BN$9,1),FALSE),0)+IFERROR(VLOOKUP($B22,'IA1-Final Void inc Ramps'!$A$11:$BN$18,MATCH(Summary!AX$1,'IA1-Final Void inc Ramps'!$A$9:$BN$9,1),FALSE),0)</f>
        <v>825</v>
      </c>
      <c r="AY22" s="51">
        <f>IFERROR(VLOOKUP($B22,'RA1- Elevated Dumps Upper'!$A$11:$BN$18,MATCH(Summary!AY$1,'RA1- Elevated Dumps Upper'!$A$9:$BN$9,1),FALSE),0)+IFERROR(VLOOKUP($B22,'RA2-Elevated Dumps Slopes'!$A$11:$BN$18,MATCH(Summary!AY$1,'RA2-Elevated Dumps Slopes'!$A$9:$BN$9,1),FALSE),0)+IFERROR(VLOOKUP($B22,'RA3-Backfilled Pits'!$A$11:$BN$18,MATCH(Summary!AY$1,'RA3-Backfilled Pits'!$A$9:$BN$9,1),FALSE),0)+IFERROR(VLOOKUP($B22,'RA4-Tracks_Roads'!$A$11:$BN$18,MATCH(Summary!AY$1,'RA4-Tracks_Roads'!$A$9:$BN$9,1),FALSE),0)+IFERROR(VLOOKUP($B22,'RA5-ROM'!$A$11:$BN$18,MATCH(Summary!AY$1,'RA5-ROM'!$A$9:$BN$9,1),FALSE),0)+IFERROR(VLOOKUP($B22,'RA6-CHPP'!$A$11:$BN$18,MATCH(Summary!AY$1,'RA6-CHPP'!$A$9:$BN$9,1),FALSE),0)+IFERROR(VLOOKUP($B22,'RA7-Mine Infrastructure Area'!$A$11:$BN$18,MATCH(Summary!AY$1,'RA7-Mine Infrastructure Area'!$A$9:$BN$9,1),FALSE),0)+IFERROR(VLOOKUP($B22,'RA8-Water Management Structures'!$A$11:$BN$18,MATCH(Summary!AY$1,'RA8-Water Management Structures'!$A$9:$BN$9,1),FALSE),0)+IFERROR(VLOOKUP($B22,'RA9-Codisposal Upper'!$A$11:$BN$18,MATCH(Summary!AY$1,'RA9-Codisposal Upper'!$A$9:$BN$9,1),FALSE),0)+IFERROR(VLOOKUP($B22,'RA10-Codisposal Slopes'!$A$11:$BN$18,MATCH(Summary!AY$1,'RA10-Codisposal Slopes'!$A$9:$BN$9,1),FALSE),0)+IFERROR(VLOOKUP($B22,'IA1-Final Void inc Ramps'!$A$11:$BN$18,MATCH(Summary!AY$1,'IA1-Final Void inc Ramps'!$A$9:$BN$9,1),FALSE),0)</f>
        <v>825</v>
      </c>
      <c r="AZ22" s="51">
        <f>IFERROR(VLOOKUP($B22,'RA1- Elevated Dumps Upper'!$A$11:$BN$18,MATCH(Summary!AZ$1,'RA1- Elevated Dumps Upper'!$A$9:$BN$9,1),FALSE),0)+IFERROR(VLOOKUP($B22,'RA2-Elevated Dumps Slopes'!$A$11:$BN$18,MATCH(Summary!AZ$1,'RA2-Elevated Dumps Slopes'!$A$9:$BN$9,1),FALSE),0)+IFERROR(VLOOKUP($B22,'RA3-Backfilled Pits'!$A$11:$BN$18,MATCH(Summary!AZ$1,'RA3-Backfilled Pits'!$A$9:$BN$9,1),FALSE),0)+IFERROR(VLOOKUP($B22,'RA4-Tracks_Roads'!$A$11:$BN$18,MATCH(Summary!AZ$1,'RA4-Tracks_Roads'!$A$9:$BN$9,1),FALSE),0)+IFERROR(VLOOKUP($B22,'RA5-ROM'!$A$11:$BN$18,MATCH(Summary!AZ$1,'RA5-ROM'!$A$9:$BN$9,1),FALSE),0)+IFERROR(VLOOKUP($B22,'RA6-CHPP'!$A$11:$BN$18,MATCH(Summary!AZ$1,'RA6-CHPP'!$A$9:$BN$9,1),FALSE),0)+IFERROR(VLOOKUP($B22,'RA7-Mine Infrastructure Area'!$A$11:$BN$18,MATCH(Summary!AZ$1,'RA7-Mine Infrastructure Area'!$A$9:$BN$9,1),FALSE),0)+IFERROR(VLOOKUP($B22,'RA8-Water Management Structures'!$A$11:$BN$18,MATCH(Summary!AZ$1,'RA8-Water Management Structures'!$A$9:$BN$9,1),FALSE),0)+IFERROR(VLOOKUP($B22,'RA9-Codisposal Upper'!$A$11:$BN$18,MATCH(Summary!AZ$1,'RA9-Codisposal Upper'!$A$9:$BN$9,1),FALSE),0)+IFERROR(VLOOKUP($B22,'RA10-Codisposal Slopes'!$A$11:$BN$18,MATCH(Summary!AZ$1,'RA10-Codisposal Slopes'!$A$9:$BN$9,1),FALSE),0)+IFERROR(VLOOKUP($B22,'IA1-Final Void inc Ramps'!$A$11:$BN$18,MATCH(Summary!AZ$1,'IA1-Final Void inc Ramps'!$A$9:$BN$9,1),FALSE),0)</f>
        <v>1004.1</v>
      </c>
      <c r="BA22" s="51">
        <f>IFERROR(VLOOKUP($B22,'RA1- Elevated Dumps Upper'!$A$11:$BN$18,MATCH(Summary!BA$1,'RA1- Elevated Dumps Upper'!$A$9:$BN$9,1),FALSE),0)+IFERROR(VLOOKUP($B22,'RA2-Elevated Dumps Slopes'!$A$11:$BN$18,MATCH(Summary!BA$1,'RA2-Elevated Dumps Slopes'!$A$9:$BN$9,1),FALSE),0)+IFERROR(VLOOKUP($B22,'RA3-Backfilled Pits'!$A$11:$BN$18,MATCH(Summary!BA$1,'RA3-Backfilled Pits'!$A$9:$BN$9,1),FALSE),0)+IFERROR(VLOOKUP($B22,'RA4-Tracks_Roads'!$A$11:$BN$18,MATCH(Summary!BA$1,'RA4-Tracks_Roads'!$A$9:$BN$9,1),FALSE),0)+IFERROR(VLOOKUP($B22,'RA5-ROM'!$A$11:$BN$18,MATCH(Summary!BA$1,'RA5-ROM'!$A$9:$BN$9,1),FALSE),0)+IFERROR(VLOOKUP($B22,'RA6-CHPP'!$A$11:$BN$18,MATCH(Summary!BA$1,'RA6-CHPP'!$A$9:$BN$9,1),FALSE),0)+IFERROR(VLOOKUP($B22,'RA7-Mine Infrastructure Area'!$A$11:$BN$18,MATCH(Summary!BA$1,'RA7-Mine Infrastructure Area'!$A$9:$BN$9,1),FALSE),0)+IFERROR(VLOOKUP($B22,'RA8-Water Management Structures'!$A$11:$BN$18,MATCH(Summary!BA$1,'RA8-Water Management Structures'!$A$9:$BN$9,1),FALSE),0)+IFERROR(VLOOKUP($B22,'RA9-Codisposal Upper'!$A$11:$BN$18,MATCH(Summary!BA$1,'RA9-Codisposal Upper'!$A$9:$BN$9,1),FALSE),0)+IFERROR(VLOOKUP($B22,'RA10-Codisposal Slopes'!$A$11:$BN$18,MATCH(Summary!BA$1,'RA10-Codisposal Slopes'!$A$9:$BN$9,1),FALSE),0)+IFERROR(VLOOKUP($B22,'IA1-Final Void inc Ramps'!$A$11:$BN$18,MATCH(Summary!BA$1,'IA1-Final Void inc Ramps'!$A$9:$BN$9,1),FALSE),0)</f>
        <v>1004.1</v>
      </c>
      <c r="BB22" s="51">
        <f>IFERROR(VLOOKUP($B22,'RA1- Elevated Dumps Upper'!$A$11:$BN$18,MATCH(Summary!BB$1,'RA1- Elevated Dumps Upper'!$A$9:$BN$9,1),FALSE),0)+IFERROR(VLOOKUP($B22,'RA2-Elevated Dumps Slopes'!$A$11:$BN$18,MATCH(Summary!BB$1,'RA2-Elevated Dumps Slopes'!$A$9:$BN$9,1),FALSE),0)+IFERROR(VLOOKUP($B22,'RA3-Backfilled Pits'!$A$11:$BN$18,MATCH(Summary!BB$1,'RA3-Backfilled Pits'!$A$9:$BN$9,1),FALSE),0)+IFERROR(VLOOKUP($B22,'RA4-Tracks_Roads'!$A$11:$BN$18,MATCH(Summary!BB$1,'RA4-Tracks_Roads'!$A$9:$BN$9,1),FALSE),0)+IFERROR(VLOOKUP($B22,'RA5-ROM'!$A$11:$BN$18,MATCH(Summary!BB$1,'RA5-ROM'!$A$9:$BN$9,1),FALSE),0)+IFERROR(VLOOKUP($B22,'RA6-CHPP'!$A$11:$BN$18,MATCH(Summary!BB$1,'RA6-CHPP'!$A$9:$BN$9,1),FALSE),0)+IFERROR(VLOOKUP($B22,'RA7-Mine Infrastructure Area'!$A$11:$BN$18,MATCH(Summary!BB$1,'RA7-Mine Infrastructure Area'!$A$9:$BN$9,1),FALSE),0)+IFERROR(VLOOKUP($B22,'RA8-Water Management Structures'!$A$11:$BN$18,MATCH(Summary!BB$1,'RA8-Water Management Structures'!$A$9:$BN$9,1),FALSE),0)+IFERROR(VLOOKUP($B22,'RA9-Codisposal Upper'!$A$11:$BN$18,MATCH(Summary!BB$1,'RA9-Codisposal Upper'!$A$9:$BN$9,1),FALSE),0)+IFERROR(VLOOKUP($B22,'RA10-Codisposal Slopes'!$A$11:$BN$18,MATCH(Summary!BB$1,'RA10-Codisposal Slopes'!$A$9:$BN$9,1),FALSE),0)+IFERROR(VLOOKUP($B22,'IA1-Final Void inc Ramps'!$A$11:$BN$18,MATCH(Summary!BB$1,'IA1-Final Void inc Ramps'!$A$9:$BN$9,1),FALSE),0)</f>
        <v>1331.3999999999999</v>
      </c>
      <c r="BC22" s="51">
        <f>IFERROR(VLOOKUP($B22,'RA1- Elevated Dumps Upper'!$A$11:$BN$18,MATCH(Summary!BC$1,'RA1- Elevated Dumps Upper'!$A$9:$BN$9,1),FALSE),0)+IFERROR(VLOOKUP($B22,'RA2-Elevated Dumps Slopes'!$A$11:$BN$18,MATCH(Summary!BC$1,'RA2-Elevated Dumps Slopes'!$A$9:$BN$9,1),FALSE),0)+IFERROR(VLOOKUP($B22,'RA3-Backfilled Pits'!$A$11:$BN$18,MATCH(Summary!BC$1,'RA3-Backfilled Pits'!$A$9:$BN$9,1),FALSE),0)+IFERROR(VLOOKUP($B22,'RA4-Tracks_Roads'!$A$11:$BN$18,MATCH(Summary!BC$1,'RA4-Tracks_Roads'!$A$9:$BN$9,1),FALSE),0)+IFERROR(VLOOKUP($B22,'RA5-ROM'!$A$11:$BN$18,MATCH(Summary!BC$1,'RA5-ROM'!$A$9:$BN$9,1),FALSE),0)+IFERROR(VLOOKUP($B22,'RA6-CHPP'!$A$11:$BN$18,MATCH(Summary!BC$1,'RA6-CHPP'!$A$9:$BN$9,1),FALSE),0)+IFERROR(VLOOKUP($B22,'RA7-Mine Infrastructure Area'!$A$11:$BN$18,MATCH(Summary!BC$1,'RA7-Mine Infrastructure Area'!$A$9:$BN$9,1),FALSE),0)+IFERROR(VLOOKUP($B22,'RA8-Water Management Structures'!$A$11:$BN$18,MATCH(Summary!BC$1,'RA8-Water Management Structures'!$A$9:$BN$9,1),FALSE),0)+IFERROR(VLOOKUP($B22,'RA9-Codisposal Upper'!$A$11:$BN$18,MATCH(Summary!BC$1,'RA9-Codisposal Upper'!$A$9:$BN$9,1),FALSE),0)+IFERROR(VLOOKUP($B22,'RA10-Codisposal Slopes'!$A$11:$BN$18,MATCH(Summary!BC$1,'RA10-Codisposal Slopes'!$A$9:$BN$9,1),FALSE),0)+IFERROR(VLOOKUP($B22,'IA1-Final Void inc Ramps'!$A$11:$BN$18,MATCH(Summary!BC$1,'IA1-Final Void inc Ramps'!$A$9:$BN$9,1),FALSE),0)</f>
        <v>1331.3999999999999</v>
      </c>
      <c r="BD22" s="51">
        <f>IFERROR(VLOOKUP($B22,'RA1- Elevated Dumps Upper'!$A$11:$BN$18,MATCH(Summary!BD$1,'RA1- Elevated Dumps Upper'!$A$9:$BN$9,1),FALSE),0)+IFERROR(VLOOKUP($B22,'RA2-Elevated Dumps Slopes'!$A$11:$BN$18,MATCH(Summary!BD$1,'RA2-Elevated Dumps Slopes'!$A$9:$BN$9,1),FALSE),0)+IFERROR(VLOOKUP($B22,'RA3-Backfilled Pits'!$A$11:$BN$18,MATCH(Summary!BD$1,'RA3-Backfilled Pits'!$A$9:$BN$9,1),FALSE),0)+IFERROR(VLOOKUP($B22,'RA4-Tracks_Roads'!$A$11:$BN$18,MATCH(Summary!BD$1,'RA4-Tracks_Roads'!$A$9:$BN$9,1),FALSE),0)+IFERROR(VLOOKUP($B22,'RA5-ROM'!$A$11:$BN$18,MATCH(Summary!BD$1,'RA5-ROM'!$A$9:$BN$9,1),FALSE),0)+IFERROR(VLOOKUP($B22,'RA6-CHPP'!$A$11:$BN$18,MATCH(Summary!BD$1,'RA6-CHPP'!$A$9:$BN$9,1),FALSE),0)+IFERROR(VLOOKUP($B22,'RA7-Mine Infrastructure Area'!$A$11:$BN$18,MATCH(Summary!BD$1,'RA7-Mine Infrastructure Area'!$A$9:$BN$9,1),FALSE),0)+IFERROR(VLOOKUP($B22,'RA8-Water Management Structures'!$A$11:$BN$18,MATCH(Summary!BD$1,'RA8-Water Management Structures'!$A$9:$BN$9,1),FALSE),0)+IFERROR(VLOOKUP($B22,'RA9-Codisposal Upper'!$A$11:$BN$18,MATCH(Summary!BD$1,'RA9-Codisposal Upper'!$A$9:$BN$9,1),FALSE),0)+IFERROR(VLOOKUP($B22,'RA10-Codisposal Slopes'!$A$11:$BN$18,MATCH(Summary!BD$1,'RA10-Codisposal Slopes'!$A$9:$BN$9,1),FALSE),0)+IFERROR(VLOOKUP($B22,'IA1-Final Void inc Ramps'!$A$11:$BN$18,MATCH(Summary!BD$1,'IA1-Final Void inc Ramps'!$A$9:$BN$9,1),FALSE),0)</f>
        <v>1331.3999999999999</v>
      </c>
      <c r="BE22" s="51">
        <f>IFERROR(VLOOKUP($B22,'RA1- Elevated Dumps Upper'!$A$11:$BN$18,MATCH(Summary!BE$1,'RA1- Elevated Dumps Upper'!$A$9:$BN$9,1),FALSE),0)+IFERROR(VLOOKUP($B22,'RA2-Elevated Dumps Slopes'!$A$11:$BN$18,MATCH(Summary!BE$1,'RA2-Elevated Dumps Slopes'!$A$9:$BN$9,1),FALSE),0)+IFERROR(VLOOKUP($B22,'RA3-Backfilled Pits'!$A$11:$BN$18,MATCH(Summary!BE$1,'RA3-Backfilled Pits'!$A$9:$BN$9,1),FALSE),0)+IFERROR(VLOOKUP($B22,'RA4-Tracks_Roads'!$A$11:$BN$18,MATCH(Summary!BE$1,'RA4-Tracks_Roads'!$A$9:$BN$9,1),FALSE),0)+IFERROR(VLOOKUP($B22,'RA5-ROM'!$A$11:$BN$18,MATCH(Summary!BE$1,'RA5-ROM'!$A$9:$BN$9,1),FALSE),0)+IFERROR(VLOOKUP($B22,'RA6-CHPP'!$A$11:$BN$18,MATCH(Summary!BE$1,'RA6-CHPP'!$A$9:$BN$9,1),FALSE),0)+IFERROR(VLOOKUP($B22,'RA7-Mine Infrastructure Area'!$A$11:$BN$18,MATCH(Summary!BE$1,'RA7-Mine Infrastructure Area'!$A$9:$BN$9,1),FALSE),0)+IFERROR(VLOOKUP($B22,'RA8-Water Management Structures'!$A$11:$BN$18,MATCH(Summary!BE$1,'RA8-Water Management Structures'!$A$9:$BN$9,1),FALSE),0)+IFERROR(VLOOKUP($B22,'RA9-Codisposal Upper'!$A$11:$BN$18,MATCH(Summary!BE$1,'RA9-Codisposal Upper'!$A$9:$BN$9,1),FALSE),0)+IFERROR(VLOOKUP($B22,'RA10-Codisposal Slopes'!$A$11:$BN$18,MATCH(Summary!BE$1,'RA10-Codisposal Slopes'!$A$9:$BN$9,1),FALSE),0)+IFERROR(VLOOKUP($B22,'IA1-Final Void inc Ramps'!$A$11:$BN$18,MATCH(Summary!BE$1,'IA1-Final Void inc Ramps'!$A$9:$BN$9,1),FALSE),0)</f>
        <v>1331.3999999999999</v>
      </c>
      <c r="BF22" s="51">
        <f>IFERROR(VLOOKUP($B22,'RA1- Elevated Dumps Upper'!$A$11:$BN$18,MATCH(Summary!BF$1,'RA1- Elevated Dumps Upper'!$A$9:$BN$9,1),FALSE),0)+IFERROR(VLOOKUP($B22,'RA2-Elevated Dumps Slopes'!$A$11:$BN$18,MATCH(Summary!BF$1,'RA2-Elevated Dumps Slopes'!$A$9:$BN$9,1),FALSE),0)+IFERROR(VLOOKUP($B22,'RA3-Backfilled Pits'!$A$11:$BN$18,MATCH(Summary!BF$1,'RA3-Backfilled Pits'!$A$9:$BN$9,1),FALSE),0)+IFERROR(VLOOKUP($B22,'RA4-Tracks_Roads'!$A$11:$BN$18,MATCH(Summary!BF$1,'RA4-Tracks_Roads'!$A$9:$BN$9,1),FALSE),0)+IFERROR(VLOOKUP($B22,'RA5-ROM'!$A$11:$BN$18,MATCH(Summary!BF$1,'RA5-ROM'!$A$9:$BN$9,1),FALSE),0)+IFERROR(VLOOKUP($B22,'RA6-CHPP'!$A$11:$BN$18,MATCH(Summary!BF$1,'RA6-CHPP'!$A$9:$BN$9,1),FALSE),0)+IFERROR(VLOOKUP($B22,'RA7-Mine Infrastructure Area'!$A$11:$BN$18,MATCH(Summary!BF$1,'RA7-Mine Infrastructure Area'!$A$9:$BN$9,1),FALSE),0)+IFERROR(VLOOKUP($B22,'RA8-Water Management Structures'!$A$11:$BN$18,MATCH(Summary!BF$1,'RA8-Water Management Structures'!$A$9:$BN$9,1),FALSE),0)+IFERROR(VLOOKUP($B22,'RA9-Codisposal Upper'!$A$11:$BN$18,MATCH(Summary!BF$1,'RA9-Codisposal Upper'!$A$9:$BN$9,1),FALSE),0)+IFERROR(VLOOKUP($B22,'RA10-Codisposal Slopes'!$A$11:$BN$18,MATCH(Summary!BF$1,'RA10-Codisposal Slopes'!$A$9:$BN$9,1),FALSE),0)+IFERROR(VLOOKUP($B22,'IA1-Final Void inc Ramps'!$A$11:$BN$18,MATCH(Summary!BF$1,'IA1-Final Void inc Ramps'!$A$9:$BN$9,1),FALSE),0)</f>
        <v>1331.3999999999999</v>
      </c>
      <c r="BG22" s="51">
        <f>IFERROR(VLOOKUP($B22,'RA1- Elevated Dumps Upper'!$A$11:$BN$18,MATCH(Summary!BG$1,'RA1- Elevated Dumps Upper'!$A$9:$BN$9,1),FALSE),0)+IFERROR(VLOOKUP($B22,'RA2-Elevated Dumps Slopes'!$A$11:$BN$18,MATCH(Summary!BG$1,'RA2-Elevated Dumps Slopes'!$A$9:$BN$9,1),FALSE),0)+IFERROR(VLOOKUP($B22,'RA3-Backfilled Pits'!$A$11:$BN$18,MATCH(Summary!BG$1,'RA3-Backfilled Pits'!$A$9:$BN$9,1),FALSE),0)+IFERROR(VLOOKUP($B22,'RA4-Tracks_Roads'!$A$11:$BN$18,MATCH(Summary!BG$1,'RA4-Tracks_Roads'!$A$9:$BN$9,1),FALSE),0)+IFERROR(VLOOKUP($B22,'RA5-ROM'!$A$11:$BN$18,MATCH(Summary!BG$1,'RA5-ROM'!$A$9:$BN$9,1),FALSE),0)+IFERROR(VLOOKUP($B22,'RA6-CHPP'!$A$11:$BN$18,MATCH(Summary!BG$1,'RA6-CHPP'!$A$9:$BN$9,1),FALSE),0)+IFERROR(VLOOKUP($B22,'RA7-Mine Infrastructure Area'!$A$11:$BN$18,MATCH(Summary!BG$1,'RA7-Mine Infrastructure Area'!$A$9:$BN$9,1),FALSE),0)+IFERROR(VLOOKUP($B22,'RA8-Water Management Structures'!$A$11:$BN$18,MATCH(Summary!BG$1,'RA8-Water Management Structures'!$A$9:$BN$9,1),FALSE),0)+IFERROR(VLOOKUP($B22,'RA9-Codisposal Upper'!$A$11:$BN$18,MATCH(Summary!BG$1,'RA9-Codisposal Upper'!$A$9:$BN$9,1),FALSE),0)+IFERROR(VLOOKUP($B22,'RA10-Codisposal Slopes'!$A$11:$BN$18,MATCH(Summary!BG$1,'RA10-Codisposal Slopes'!$A$9:$BN$9,1),FALSE),0)+IFERROR(VLOOKUP($B22,'IA1-Final Void inc Ramps'!$A$11:$BN$18,MATCH(Summary!BG$1,'IA1-Final Void inc Ramps'!$A$9:$BN$9,1),FALSE),0)</f>
        <v>1331.3999999999999</v>
      </c>
      <c r="BH22" s="51">
        <f>IFERROR(VLOOKUP($B22,'RA1- Elevated Dumps Upper'!$A$11:$BN$18,MATCH(Summary!BH$1,'RA1- Elevated Dumps Upper'!$A$9:$BN$9,1),FALSE),0)+IFERROR(VLOOKUP($B22,'RA2-Elevated Dumps Slopes'!$A$11:$BN$18,MATCH(Summary!BH$1,'RA2-Elevated Dumps Slopes'!$A$9:$BN$9,1),FALSE),0)+IFERROR(VLOOKUP($B22,'RA3-Backfilled Pits'!$A$11:$BN$18,MATCH(Summary!BH$1,'RA3-Backfilled Pits'!$A$9:$BN$9,1),FALSE),0)+IFERROR(VLOOKUP($B22,'RA4-Tracks_Roads'!$A$11:$BN$18,MATCH(Summary!BH$1,'RA4-Tracks_Roads'!$A$9:$BN$9,1),FALSE),0)+IFERROR(VLOOKUP($B22,'RA5-ROM'!$A$11:$BN$18,MATCH(Summary!BH$1,'RA5-ROM'!$A$9:$BN$9,1),FALSE),0)+IFERROR(VLOOKUP($B22,'RA6-CHPP'!$A$11:$BN$18,MATCH(Summary!BH$1,'RA6-CHPP'!$A$9:$BN$9,1),FALSE),0)+IFERROR(VLOOKUP($B22,'RA7-Mine Infrastructure Area'!$A$11:$BN$18,MATCH(Summary!BH$1,'RA7-Mine Infrastructure Area'!$A$9:$BN$9,1),FALSE),0)+IFERROR(VLOOKUP($B22,'RA8-Water Management Structures'!$A$11:$BN$18,MATCH(Summary!BH$1,'RA8-Water Management Structures'!$A$9:$BN$9,1),FALSE),0)+IFERROR(VLOOKUP($B22,'RA9-Codisposal Upper'!$A$11:$BN$18,MATCH(Summary!BH$1,'RA9-Codisposal Upper'!$A$9:$BN$9,1),FALSE),0)+IFERROR(VLOOKUP($B22,'RA10-Codisposal Slopes'!$A$11:$BN$18,MATCH(Summary!BH$1,'RA10-Codisposal Slopes'!$A$9:$BN$9,1),FALSE),0)+IFERROR(VLOOKUP($B22,'IA1-Final Void inc Ramps'!$A$11:$BN$18,MATCH(Summary!BH$1,'IA1-Final Void inc Ramps'!$A$9:$BN$9,1),FALSE),0)</f>
        <v>1331.3999999999999</v>
      </c>
      <c r="BI22" s="51">
        <f>IFERROR(VLOOKUP($B22,'RA1- Elevated Dumps Upper'!$A$11:$BN$18,MATCH(Summary!BI$1,'RA1- Elevated Dumps Upper'!$A$9:$BN$9,1),FALSE),0)+IFERROR(VLOOKUP($B22,'RA2-Elevated Dumps Slopes'!$A$11:$BN$18,MATCH(Summary!BI$1,'RA2-Elevated Dumps Slopes'!$A$9:$BN$9,1),FALSE),0)+IFERROR(VLOOKUP($B22,'RA3-Backfilled Pits'!$A$11:$BN$18,MATCH(Summary!BI$1,'RA3-Backfilled Pits'!$A$9:$BN$9,1),FALSE),0)+IFERROR(VLOOKUP($B22,'RA4-Tracks_Roads'!$A$11:$BN$18,MATCH(Summary!BI$1,'RA4-Tracks_Roads'!$A$9:$BN$9,1),FALSE),0)+IFERROR(VLOOKUP($B22,'RA5-ROM'!$A$11:$BN$18,MATCH(Summary!BI$1,'RA5-ROM'!$A$9:$BN$9,1),FALSE),0)+IFERROR(VLOOKUP($B22,'RA6-CHPP'!$A$11:$BN$18,MATCH(Summary!BI$1,'RA6-CHPP'!$A$9:$BN$9,1),FALSE),0)+IFERROR(VLOOKUP($B22,'RA7-Mine Infrastructure Area'!$A$11:$BN$18,MATCH(Summary!BI$1,'RA7-Mine Infrastructure Area'!$A$9:$BN$9,1),FALSE),0)+IFERROR(VLOOKUP($B22,'RA8-Water Management Structures'!$A$11:$BN$18,MATCH(Summary!BI$1,'RA8-Water Management Structures'!$A$9:$BN$9,1),FALSE),0)+IFERROR(VLOOKUP($B22,'RA9-Codisposal Upper'!$A$11:$BN$18,MATCH(Summary!BI$1,'RA9-Codisposal Upper'!$A$9:$BN$9,1),FALSE),0)+IFERROR(VLOOKUP($B22,'RA10-Codisposal Slopes'!$A$11:$BN$18,MATCH(Summary!BI$1,'RA10-Codisposal Slopes'!$A$9:$BN$9,1),FALSE),0)+IFERROR(VLOOKUP($B22,'IA1-Final Void inc Ramps'!$A$11:$BN$18,MATCH(Summary!BI$1,'IA1-Final Void inc Ramps'!$A$9:$BN$9,1),FALSE),0)</f>
        <v>1331.3999999999999</v>
      </c>
      <c r="BJ22" s="51">
        <f>IFERROR(VLOOKUP($B22,'RA1- Elevated Dumps Upper'!$A$11:$BN$18,MATCH(Summary!BJ$1,'RA1- Elevated Dumps Upper'!$A$9:$BN$9,1),FALSE),0)+IFERROR(VLOOKUP($B22,'RA2-Elevated Dumps Slopes'!$A$11:$BN$18,MATCH(Summary!BJ$1,'RA2-Elevated Dumps Slopes'!$A$9:$BN$9,1),FALSE),0)+IFERROR(VLOOKUP($B22,'RA3-Backfilled Pits'!$A$11:$BN$18,MATCH(Summary!BJ$1,'RA3-Backfilled Pits'!$A$9:$BN$9,1),FALSE),0)+IFERROR(VLOOKUP($B22,'RA4-Tracks_Roads'!$A$11:$BN$18,MATCH(Summary!BJ$1,'RA4-Tracks_Roads'!$A$9:$BN$9,1),FALSE),0)+IFERROR(VLOOKUP($B22,'RA5-ROM'!$A$11:$BN$18,MATCH(Summary!BJ$1,'RA5-ROM'!$A$9:$BN$9,1),FALSE),0)+IFERROR(VLOOKUP($B22,'RA6-CHPP'!$A$11:$BN$18,MATCH(Summary!BJ$1,'RA6-CHPP'!$A$9:$BN$9,1),FALSE),0)+IFERROR(VLOOKUP($B22,'RA7-Mine Infrastructure Area'!$A$11:$BN$18,MATCH(Summary!BJ$1,'RA7-Mine Infrastructure Area'!$A$9:$BN$9,1),FALSE),0)+IFERROR(VLOOKUP($B22,'RA8-Water Management Structures'!$A$11:$BN$18,MATCH(Summary!BJ$1,'RA8-Water Management Structures'!$A$9:$BN$9,1),FALSE),0)+IFERROR(VLOOKUP($B22,'RA9-Codisposal Upper'!$A$11:$BN$18,MATCH(Summary!BJ$1,'RA9-Codisposal Upper'!$A$9:$BN$9,1),FALSE),0)+IFERROR(VLOOKUP($B22,'RA10-Codisposal Slopes'!$A$11:$BN$18,MATCH(Summary!BJ$1,'RA10-Codisposal Slopes'!$A$9:$BN$9,1),FALSE),0)+IFERROR(VLOOKUP($B22,'IA1-Final Void inc Ramps'!$A$11:$BN$18,MATCH(Summary!BJ$1,'IA1-Final Void inc Ramps'!$A$9:$BN$9,1),FALSE),0)</f>
        <v>1331.3999999999999</v>
      </c>
      <c r="BK22" s="51">
        <f>IFERROR(VLOOKUP($B22,'RA1- Elevated Dumps Upper'!$A$11:$BN$18,MATCH(Summary!BK$1,'RA1- Elevated Dumps Upper'!$A$9:$BN$9,1),FALSE),0)+IFERROR(VLOOKUP($B22,'RA2-Elevated Dumps Slopes'!$A$11:$BN$18,MATCH(Summary!BK$1,'RA2-Elevated Dumps Slopes'!$A$9:$BN$9,1),FALSE),0)+IFERROR(VLOOKUP($B22,'RA3-Backfilled Pits'!$A$11:$BN$18,MATCH(Summary!BK$1,'RA3-Backfilled Pits'!$A$9:$BN$9,1),FALSE),0)+IFERROR(VLOOKUP($B22,'RA4-Tracks_Roads'!$A$11:$BN$18,MATCH(Summary!BK$1,'RA4-Tracks_Roads'!$A$9:$BN$9,1),FALSE),0)+IFERROR(VLOOKUP($B22,'RA5-ROM'!$A$11:$BN$18,MATCH(Summary!BK$1,'RA5-ROM'!$A$9:$BN$9,1),FALSE),0)+IFERROR(VLOOKUP($B22,'RA6-CHPP'!$A$11:$BN$18,MATCH(Summary!BK$1,'RA6-CHPP'!$A$9:$BN$9,1),FALSE),0)+IFERROR(VLOOKUP($B22,'RA7-Mine Infrastructure Area'!$A$11:$BN$18,MATCH(Summary!BK$1,'RA7-Mine Infrastructure Area'!$A$9:$BN$9,1),FALSE),0)+IFERROR(VLOOKUP($B22,'RA8-Water Management Structures'!$A$11:$BN$18,MATCH(Summary!BK$1,'RA8-Water Management Structures'!$A$9:$BN$9,1),FALSE),0)+IFERROR(VLOOKUP($B22,'RA9-Codisposal Upper'!$A$11:$BN$18,MATCH(Summary!BK$1,'RA9-Codisposal Upper'!$A$9:$BN$9,1),FALSE),0)+IFERROR(VLOOKUP($B22,'RA10-Codisposal Slopes'!$A$11:$BN$18,MATCH(Summary!BK$1,'RA10-Codisposal Slopes'!$A$9:$BN$9,1),FALSE),0)+IFERROR(VLOOKUP($B22,'IA1-Final Void inc Ramps'!$A$11:$BN$18,MATCH(Summary!BK$1,'IA1-Final Void inc Ramps'!$A$9:$BN$9,1),FALSE),0)</f>
        <v>1331.3999999999999</v>
      </c>
      <c r="BL22" s="51">
        <f>IFERROR(VLOOKUP($B22,'RA1- Elevated Dumps Upper'!$A$11:$BN$18,MATCH(Summary!BL$1,'RA1- Elevated Dumps Upper'!$A$9:$BN$9,1),FALSE),0)+IFERROR(VLOOKUP($B22,'RA2-Elevated Dumps Slopes'!$A$11:$BN$18,MATCH(Summary!BL$1,'RA2-Elevated Dumps Slopes'!$A$9:$BN$9,1),FALSE),0)+IFERROR(VLOOKUP($B22,'RA3-Backfilled Pits'!$A$11:$BN$18,MATCH(Summary!BL$1,'RA3-Backfilled Pits'!$A$9:$BN$9,1),FALSE),0)+IFERROR(VLOOKUP($B22,'RA4-Tracks_Roads'!$A$11:$BN$18,MATCH(Summary!BL$1,'RA4-Tracks_Roads'!$A$9:$BN$9,1),FALSE),0)+IFERROR(VLOOKUP($B22,'RA5-ROM'!$A$11:$BN$18,MATCH(Summary!BL$1,'RA5-ROM'!$A$9:$BN$9,1),FALSE),0)+IFERROR(VLOOKUP($B22,'RA6-CHPP'!$A$11:$BN$18,MATCH(Summary!BL$1,'RA6-CHPP'!$A$9:$BN$9,1),FALSE),0)+IFERROR(VLOOKUP($B22,'RA7-Mine Infrastructure Area'!$A$11:$BN$18,MATCH(Summary!BL$1,'RA7-Mine Infrastructure Area'!$A$9:$BN$9,1),FALSE),0)+IFERROR(VLOOKUP($B22,'RA8-Water Management Structures'!$A$11:$BN$18,MATCH(Summary!BL$1,'RA8-Water Management Structures'!$A$9:$BN$9,1),FALSE),0)+IFERROR(VLOOKUP($B22,'RA9-Codisposal Upper'!$A$11:$BN$18,MATCH(Summary!BL$1,'RA9-Codisposal Upper'!$A$9:$BN$9,1),FALSE),0)+IFERROR(VLOOKUP($B22,'RA10-Codisposal Slopes'!$A$11:$BN$18,MATCH(Summary!BL$1,'RA10-Codisposal Slopes'!$A$9:$BN$9,1),FALSE),0)+IFERROR(VLOOKUP($B22,'IA1-Final Void inc Ramps'!$A$11:$BN$18,MATCH(Summary!BL$1,'IA1-Final Void inc Ramps'!$A$9:$BN$9,1),FALSE),0)</f>
        <v>1331.3999999999999</v>
      </c>
      <c r="BM22" s="51">
        <f>IFERROR(VLOOKUP($B22,'RA1- Elevated Dumps Upper'!$A$11:$BN$18,MATCH(Summary!BM$1,'RA1- Elevated Dumps Upper'!$A$9:$BN$9,1),FALSE),0)+IFERROR(VLOOKUP($B22,'RA2-Elevated Dumps Slopes'!$A$11:$BN$18,MATCH(Summary!BM$1,'RA2-Elevated Dumps Slopes'!$A$9:$BN$9,1),FALSE),0)+IFERROR(VLOOKUP($B22,'RA3-Backfilled Pits'!$A$11:$BN$18,MATCH(Summary!BM$1,'RA3-Backfilled Pits'!$A$9:$BN$9,1),FALSE),0)+IFERROR(VLOOKUP($B22,'RA4-Tracks_Roads'!$A$11:$BN$18,MATCH(Summary!BM$1,'RA4-Tracks_Roads'!$A$9:$BN$9,1),FALSE),0)+IFERROR(VLOOKUP($B22,'RA5-ROM'!$A$11:$BN$18,MATCH(Summary!BM$1,'RA5-ROM'!$A$9:$BN$9,1),FALSE),0)+IFERROR(VLOOKUP($B22,'RA6-CHPP'!$A$11:$BN$18,MATCH(Summary!BM$1,'RA6-CHPP'!$A$9:$BN$9,1),FALSE),0)+IFERROR(VLOOKUP($B22,'RA7-Mine Infrastructure Area'!$A$11:$BN$18,MATCH(Summary!BM$1,'RA7-Mine Infrastructure Area'!$A$9:$BN$9,1),FALSE),0)+IFERROR(VLOOKUP($B22,'RA8-Water Management Structures'!$A$11:$BN$18,MATCH(Summary!BM$1,'RA8-Water Management Structures'!$A$9:$BN$9,1),FALSE),0)+IFERROR(VLOOKUP($B22,'RA9-Codisposal Upper'!$A$11:$BN$18,MATCH(Summary!BM$1,'RA9-Codisposal Upper'!$A$9:$BN$9,1),FALSE),0)+IFERROR(VLOOKUP($B22,'RA10-Codisposal Slopes'!$A$11:$BN$18,MATCH(Summary!BM$1,'RA10-Codisposal Slopes'!$A$9:$BN$9,1),FALSE),0)+IFERROR(VLOOKUP($B22,'IA1-Final Void inc Ramps'!$A$11:$BN$18,MATCH(Summary!BM$1,'IA1-Final Void inc Ramps'!$A$9:$BN$9,1),FALSE),0)</f>
        <v>1331.3999999999999</v>
      </c>
      <c r="BN22" s="51">
        <f>IFERROR(VLOOKUP($B22,'RA1- Elevated Dumps Upper'!$A$11:$BN$18,MATCH(Summary!BN$1,'RA1- Elevated Dumps Upper'!$A$9:$BN$9,1),FALSE),0)+IFERROR(VLOOKUP($B22,'RA2-Elevated Dumps Slopes'!$A$11:$BN$18,MATCH(Summary!BN$1,'RA2-Elevated Dumps Slopes'!$A$9:$BN$9,1),FALSE),0)+IFERROR(VLOOKUP($B22,'RA3-Backfilled Pits'!$A$11:$BN$18,MATCH(Summary!BN$1,'RA3-Backfilled Pits'!$A$9:$BN$9,1),FALSE),0)+IFERROR(VLOOKUP($B22,'RA4-Tracks_Roads'!$A$11:$BN$18,MATCH(Summary!BN$1,'RA4-Tracks_Roads'!$A$9:$BN$9,1),FALSE),0)+IFERROR(VLOOKUP($B22,'RA5-ROM'!$A$11:$BN$18,MATCH(Summary!BN$1,'RA5-ROM'!$A$9:$BN$9,1),FALSE),0)+IFERROR(VLOOKUP($B22,'RA6-CHPP'!$A$11:$BN$18,MATCH(Summary!BN$1,'RA6-CHPP'!$A$9:$BN$9,1),FALSE),0)+IFERROR(VLOOKUP($B22,'RA7-Mine Infrastructure Area'!$A$11:$BN$18,MATCH(Summary!BN$1,'RA7-Mine Infrastructure Area'!$A$9:$BN$9,1),FALSE),0)+IFERROR(VLOOKUP($B22,'RA8-Water Management Structures'!$A$11:$BN$18,MATCH(Summary!BN$1,'RA8-Water Management Structures'!$A$9:$BN$9,1),FALSE),0)+IFERROR(VLOOKUP($B22,'RA9-Codisposal Upper'!$A$11:$BN$18,MATCH(Summary!BN$1,'RA9-Codisposal Upper'!$A$9:$BN$9,1),FALSE),0)+IFERROR(VLOOKUP($B22,'RA10-Codisposal Slopes'!$A$11:$BN$18,MATCH(Summary!BN$1,'RA10-Codisposal Slopes'!$A$9:$BN$9,1),FALSE),0)+IFERROR(VLOOKUP($B22,'IA1-Final Void inc Ramps'!$A$11:$BN$18,MATCH(Summary!BN$1,'IA1-Final Void inc Ramps'!$A$9:$BN$9,1),FALSE),0)</f>
        <v>1331.3999999999999</v>
      </c>
    </row>
    <row r="23" spans="1:66" x14ac:dyDescent="0.35">
      <c r="B23" t="s">
        <v>16</v>
      </c>
      <c r="D23" s="51">
        <f>IFERROR(VLOOKUP($B23,'RA1- Elevated Dumps Upper'!$A$11:$BN$18,MATCH(Summary!D$1,'RA1- Elevated Dumps Upper'!$A$9:$BN$9,1),FALSE),0)+IFERROR(VLOOKUP($B23,'RA2-Elevated Dumps Slopes'!$A$11:$BN$18,MATCH(Summary!D$1,'RA2-Elevated Dumps Slopes'!$A$9:$BN$9,1),FALSE),0)+IFERROR(VLOOKUP($B23,'RA3-Backfilled Pits'!$A$11:$BN$18,MATCH(Summary!D$1,'RA3-Backfilled Pits'!$A$9:$BN$9,1),FALSE),0)+IFERROR(VLOOKUP($B23,'RA4-Tracks_Roads'!$A$11:$BN$18,MATCH(Summary!D$1,'RA4-Tracks_Roads'!$A$9:$BN$9,1),FALSE),0)+IFERROR(VLOOKUP($B23,'RA5-ROM'!$A$11:$BN$18,MATCH(Summary!D$1,'RA5-ROM'!$A$9:$BN$9,1),FALSE),0)+IFERROR(VLOOKUP($B23,'RA6-CHPP'!$A$11:$BN$18,MATCH(Summary!D$1,'RA6-CHPP'!$A$9:$BN$9,1),FALSE),0)+IFERROR(VLOOKUP($B23,'RA7-Mine Infrastructure Area'!$A$11:$BN$18,MATCH(Summary!D$1,'RA7-Mine Infrastructure Area'!$A$9:$BN$9,1),FALSE),0)+IFERROR(VLOOKUP($B23,'RA8-Water Management Structures'!$A$11:$BN$18,MATCH(Summary!D$1,'RA8-Water Management Structures'!$A$9:$BN$9,1),FALSE),0)+IFERROR(VLOOKUP($B23,'RA9-Codisposal Upper'!$A$11:$BN$18,MATCH(Summary!D$1,'RA9-Codisposal Upper'!$A$9:$BN$9,1),FALSE),0)+IFERROR(VLOOKUP($B23,'RA10-Codisposal Slopes'!$A$11:$BN$18,MATCH(Summary!D$1,'RA10-Codisposal Slopes'!$A$9:$BN$9,1),FALSE),0)+IFERROR(VLOOKUP($B23,'IA1-Final Void inc Ramps'!$A$11:$BN$18,MATCH(Summary!D$1,'IA1-Final Void inc Ramps'!$A$9:$BN$9,1),FALSE),0)</f>
        <v>0</v>
      </c>
      <c r="E23" s="51">
        <f>IFERROR(VLOOKUP($B23,'RA1- Elevated Dumps Upper'!$A$11:$BN$18,MATCH(Summary!E$1,'RA1- Elevated Dumps Upper'!$A$9:$BN$9,1),FALSE),0)+IFERROR(VLOOKUP($B23,'RA2-Elevated Dumps Slopes'!$A$11:$BN$18,MATCH(Summary!E$1,'RA2-Elevated Dumps Slopes'!$A$9:$BN$9,1),FALSE),0)+IFERROR(VLOOKUP($B23,'RA3-Backfilled Pits'!$A$11:$BN$18,MATCH(Summary!E$1,'RA3-Backfilled Pits'!$A$9:$BN$9,1),FALSE),0)+IFERROR(VLOOKUP($B23,'RA4-Tracks_Roads'!$A$11:$BN$18,MATCH(Summary!E$1,'RA4-Tracks_Roads'!$A$9:$BN$9,1),FALSE),0)+IFERROR(VLOOKUP($B23,'RA5-ROM'!$A$11:$BN$18,MATCH(Summary!E$1,'RA5-ROM'!$A$9:$BN$9,1),FALSE),0)+IFERROR(VLOOKUP($B23,'RA6-CHPP'!$A$11:$BN$18,MATCH(Summary!E$1,'RA6-CHPP'!$A$9:$BN$9,1),FALSE),0)+IFERROR(VLOOKUP($B23,'RA7-Mine Infrastructure Area'!$A$11:$BN$18,MATCH(Summary!E$1,'RA7-Mine Infrastructure Area'!$A$9:$BN$9,1),FALSE),0)+IFERROR(VLOOKUP($B23,'RA8-Water Management Structures'!$A$11:$BN$18,MATCH(Summary!E$1,'RA8-Water Management Structures'!$A$9:$BN$9,1),FALSE),0)+IFERROR(VLOOKUP($B23,'RA9-Codisposal Upper'!$A$11:$BN$18,MATCH(Summary!E$1,'RA9-Codisposal Upper'!$A$9:$BN$9,1),FALSE),0)+IFERROR(VLOOKUP($B23,'RA10-Codisposal Slopes'!$A$11:$BN$18,MATCH(Summary!E$1,'RA10-Codisposal Slopes'!$A$9:$BN$9,1),FALSE),0)+IFERROR(VLOOKUP($B23,'IA1-Final Void inc Ramps'!$A$11:$BN$18,MATCH(Summary!E$1,'IA1-Final Void inc Ramps'!$A$9:$BN$9,1),FALSE),0)</f>
        <v>0</v>
      </c>
      <c r="F23" s="51">
        <f>IFERROR(VLOOKUP($B23,'RA1- Elevated Dumps Upper'!$A$11:$BN$18,MATCH(Summary!F$1,'RA1- Elevated Dumps Upper'!$A$9:$BN$9,1),FALSE),0)+IFERROR(VLOOKUP($B23,'RA2-Elevated Dumps Slopes'!$A$11:$BN$18,MATCH(Summary!F$1,'RA2-Elevated Dumps Slopes'!$A$9:$BN$9,1),FALSE),0)+IFERROR(VLOOKUP($B23,'RA3-Backfilled Pits'!$A$11:$BN$18,MATCH(Summary!F$1,'RA3-Backfilled Pits'!$A$9:$BN$9,1),FALSE),0)+IFERROR(VLOOKUP($B23,'RA4-Tracks_Roads'!$A$11:$BN$18,MATCH(Summary!F$1,'RA4-Tracks_Roads'!$A$9:$BN$9,1),FALSE),0)+IFERROR(VLOOKUP($B23,'RA5-ROM'!$A$11:$BN$18,MATCH(Summary!F$1,'RA5-ROM'!$A$9:$BN$9,1),FALSE),0)+IFERROR(VLOOKUP($B23,'RA6-CHPP'!$A$11:$BN$18,MATCH(Summary!F$1,'RA6-CHPP'!$A$9:$BN$9,1),FALSE),0)+IFERROR(VLOOKUP($B23,'RA7-Mine Infrastructure Area'!$A$11:$BN$18,MATCH(Summary!F$1,'RA7-Mine Infrastructure Area'!$A$9:$BN$9,1),FALSE),0)+IFERROR(VLOOKUP($B23,'RA8-Water Management Structures'!$A$11:$BN$18,MATCH(Summary!F$1,'RA8-Water Management Structures'!$A$9:$BN$9,1),FALSE),0)+IFERROR(VLOOKUP($B23,'RA9-Codisposal Upper'!$A$11:$BN$18,MATCH(Summary!F$1,'RA9-Codisposal Upper'!$A$9:$BN$9,1),FALSE),0)+IFERROR(VLOOKUP($B23,'RA10-Codisposal Slopes'!$A$11:$BN$18,MATCH(Summary!F$1,'RA10-Codisposal Slopes'!$A$9:$BN$9,1),FALSE),0)+IFERROR(VLOOKUP($B23,'IA1-Final Void inc Ramps'!$A$11:$BN$18,MATCH(Summary!F$1,'IA1-Final Void inc Ramps'!$A$9:$BN$9,1),FALSE),0)</f>
        <v>0</v>
      </c>
      <c r="G23" s="51">
        <f>IFERROR(VLOOKUP($B23,'RA1- Elevated Dumps Upper'!$A$11:$BN$18,MATCH(Summary!G$1,'RA1- Elevated Dumps Upper'!$A$9:$BN$9,1),FALSE),0)+IFERROR(VLOOKUP($B23,'RA2-Elevated Dumps Slopes'!$A$11:$BN$18,MATCH(Summary!G$1,'RA2-Elevated Dumps Slopes'!$A$9:$BN$9,1),FALSE),0)+IFERROR(VLOOKUP($B23,'RA3-Backfilled Pits'!$A$11:$BN$18,MATCH(Summary!G$1,'RA3-Backfilled Pits'!$A$9:$BN$9,1),FALSE),0)+IFERROR(VLOOKUP($B23,'RA4-Tracks_Roads'!$A$11:$BN$18,MATCH(Summary!G$1,'RA4-Tracks_Roads'!$A$9:$BN$9,1),FALSE),0)+IFERROR(VLOOKUP($B23,'RA5-ROM'!$A$11:$BN$18,MATCH(Summary!G$1,'RA5-ROM'!$A$9:$BN$9,1),FALSE),0)+IFERROR(VLOOKUP($B23,'RA6-CHPP'!$A$11:$BN$18,MATCH(Summary!G$1,'RA6-CHPP'!$A$9:$BN$9,1),FALSE),0)+IFERROR(VLOOKUP($B23,'RA7-Mine Infrastructure Area'!$A$11:$BN$18,MATCH(Summary!G$1,'RA7-Mine Infrastructure Area'!$A$9:$BN$9,1),FALSE),0)+IFERROR(VLOOKUP($B23,'RA8-Water Management Structures'!$A$11:$BN$18,MATCH(Summary!G$1,'RA8-Water Management Structures'!$A$9:$BN$9,1),FALSE),0)+IFERROR(VLOOKUP($B23,'RA9-Codisposal Upper'!$A$11:$BN$18,MATCH(Summary!G$1,'RA9-Codisposal Upper'!$A$9:$BN$9,1),FALSE),0)+IFERROR(VLOOKUP($B23,'RA10-Codisposal Slopes'!$A$11:$BN$18,MATCH(Summary!G$1,'RA10-Codisposal Slopes'!$A$9:$BN$9,1),FALSE),0)+IFERROR(VLOOKUP($B23,'IA1-Final Void inc Ramps'!$A$11:$BN$18,MATCH(Summary!G$1,'IA1-Final Void inc Ramps'!$A$9:$BN$9,1),FALSE),0)</f>
        <v>0</v>
      </c>
      <c r="H23" s="51">
        <f>IFERROR(VLOOKUP($B23,'RA1- Elevated Dumps Upper'!$A$11:$BN$18,MATCH(Summary!H$1,'RA1- Elevated Dumps Upper'!$A$9:$BN$9,1),FALSE),0)+IFERROR(VLOOKUP($B23,'RA2-Elevated Dumps Slopes'!$A$11:$BN$18,MATCH(Summary!H$1,'RA2-Elevated Dumps Slopes'!$A$9:$BN$9,1),FALSE),0)+IFERROR(VLOOKUP($B23,'RA3-Backfilled Pits'!$A$11:$BN$18,MATCH(Summary!H$1,'RA3-Backfilled Pits'!$A$9:$BN$9,1),FALSE),0)+IFERROR(VLOOKUP($B23,'RA4-Tracks_Roads'!$A$11:$BN$18,MATCH(Summary!H$1,'RA4-Tracks_Roads'!$A$9:$BN$9,1),FALSE),0)+IFERROR(VLOOKUP($B23,'RA5-ROM'!$A$11:$BN$18,MATCH(Summary!H$1,'RA5-ROM'!$A$9:$BN$9,1),FALSE),0)+IFERROR(VLOOKUP($B23,'RA6-CHPP'!$A$11:$BN$18,MATCH(Summary!H$1,'RA6-CHPP'!$A$9:$BN$9,1),FALSE),0)+IFERROR(VLOOKUP($B23,'RA7-Mine Infrastructure Area'!$A$11:$BN$18,MATCH(Summary!H$1,'RA7-Mine Infrastructure Area'!$A$9:$BN$9,1),FALSE),0)+IFERROR(VLOOKUP($B23,'RA8-Water Management Structures'!$A$11:$BN$18,MATCH(Summary!H$1,'RA8-Water Management Structures'!$A$9:$BN$9,1),FALSE),0)+IFERROR(VLOOKUP($B23,'RA9-Codisposal Upper'!$A$11:$BN$18,MATCH(Summary!H$1,'RA9-Codisposal Upper'!$A$9:$BN$9,1),FALSE),0)+IFERROR(VLOOKUP($B23,'RA10-Codisposal Slopes'!$A$11:$BN$18,MATCH(Summary!H$1,'RA10-Codisposal Slopes'!$A$9:$BN$9,1),FALSE),0)+IFERROR(VLOOKUP($B23,'IA1-Final Void inc Ramps'!$A$11:$BN$18,MATCH(Summary!H$1,'IA1-Final Void inc Ramps'!$A$9:$BN$9,1),FALSE),0)</f>
        <v>0</v>
      </c>
      <c r="I23" s="51">
        <f>IFERROR(VLOOKUP($B23,'RA1- Elevated Dumps Upper'!$A$11:$BN$18,MATCH(Summary!I$1,'RA1- Elevated Dumps Upper'!$A$9:$BN$9,1),FALSE),0)+IFERROR(VLOOKUP($B23,'RA2-Elevated Dumps Slopes'!$A$11:$BN$18,MATCH(Summary!I$1,'RA2-Elevated Dumps Slopes'!$A$9:$BN$9,1),FALSE),0)+IFERROR(VLOOKUP($B23,'RA3-Backfilled Pits'!$A$11:$BN$18,MATCH(Summary!I$1,'RA3-Backfilled Pits'!$A$9:$BN$9,1),FALSE),0)+IFERROR(VLOOKUP($B23,'RA4-Tracks_Roads'!$A$11:$BN$18,MATCH(Summary!I$1,'RA4-Tracks_Roads'!$A$9:$BN$9,1),FALSE),0)+IFERROR(VLOOKUP($B23,'RA5-ROM'!$A$11:$BN$18,MATCH(Summary!I$1,'RA5-ROM'!$A$9:$BN$9,1),FALSE),0)+IFERROR(VLOOKUP($B23,'RA6-CHPP'!$A$11:$BN$18,MATCH(Summary!I$1,'RA6-CHPP'!$A$9:$BN$9,1),FALSE),0)+IFERROR(VLOOKUP($B23,'RA7-Mine Infrastructure Area'!$A$11:$BN$18,MATCH(Summary!I$1,'RA7-Mine Infrastructure Area'!$A$9:$BN$9,1),FALSE),0)+IFERROR(VLOOKUP($B23,'RA8-Water Management Structures'!$A$11:$BN$18,MATCH(Summary!I$1,'RA8-Water Management Structures'!$A$9:$BN$9,1),FALSE),0)+IFERROR(VLOOKUP($B23,'RA9-Codisposal Upper'!$A$11:$BN$18,MATCH(Summary!I$1,'RA9-Codisposal Upper'!$A$9:$BN$9,1),FALSE),0)+IFERROR(VLOOKUP($B23,'RA10-Codisposal Slopes'!$A$11:$BN$18,MATCH(Summary!I$1,'RA10-Codisposal Slopes'!$A$9:$BN$9,1),FALSE),0)+IFERROR(VLOOKUP($B23,'IA1-Final Void inc Ramps'!$A$11:$BN$18,MATCH(Summary!I$1,'IA1-Final Void inc Ramps'!$A$9:$BN$9,1),FALSE),0)</f>
        <v>0</v>
      </c>
      <c r="J23" s="51">
        <f>IFERROR(VLOOKUP($B23,'RA1- Elevated Dumps Upper'!$A$11:$BN$18,MATCH(Summary!J$1,'RA1- Elevated Dumps Upper'!$A$9:$BN$9,1),FALSE),0)+IFERROR(VLOOKUP($B23,'RA2-Elevated Dumps Slopes'!$A$11:$BN$18,MATCH(Summary!J$1,'RA2-Elevated Dumps Slopes'!$A$9:$BN$9,1),FALSE),0)+IFERROR(VLOOKUP($B23,'RA3-Backfilled Pits'!$A$11:$BN$18,MATCH(Summary!J$1,'RA3-Backfilled Pits'!$A$9:$BN$9,1),FALSE),0)+IFERROR(VLOOKUP($B23,'RA4-Tracks_Roads'!$A$11:$BN$18,MATCH(Summary!J$1,'RA4-Tracks_Roads'!$A$9:$BN$9,1),FALSE),0)+IFERROR(VLOOKUP($B23,'RA5-ROM'!$A$11:$BN$18,MATCH(Summary!J$1,'RA5-ROM'!$A$9:$BN$9,1),FALSE),0)+IFERROR(VLOOKUP($B23,'RA6-CHPP'!$A$11:$BN$18,MATCH(Summary!J$1,'RA6-CHPP'!$A$9:$BN$9,1),FALSE),0)+IFERROR(VLOOKUP($B23,'RA7-Mine Infrastructure Area'!$A$11:$BN$18,MATCH(Summary!J$1,'RA7-Mine Infrastructure Area'!$A$9:$BN$9,1),FALSE),0)+IFERROR(VLOOKUP($B23,'RA8-Water Management Structures'!$A$11:$BN$18,MATCH(Summary!J$1,'RA8-Water Management Structures'!$A$9:$BN$9,1),FALSE),0)+IFERROR(VLOOKUP($B23,'RA9-Codisposal Upper'!$A$11:$BN$18,MATCH(Summary!J$1,'RA9-Codisposal Upper'!$A$9:$BN$9,1),FALSE),0)+IFERROR(VLOOKUP($B23,'RA10-Codisposal Slopes'!$A$11:$BN$18,MATCH(Summary!J$1,'RA10-Codisposal Slopes'!$A$9:$BN$9,1),FALSE),0)+IFERROR(VLOOKUP($B23,'IA1-Final Void inc Ramps'!$A$11:$BN$18,MATCH(Summary!J$1,'IA1-Final Void inc Ramps'!$A$9:$BN$9,1),FALSE),0)</f>
        <v>0</v>
      </c>
      <c r="K23" s="51">
        <f>IFERROR(VLOOKUP($B23,'RA1- Elevated Dumps Upper'!$A$11:$BN$18,MATCH(Summary!K$1,'RA1- Elevated Dumps Upper'!$A$9:$BN$9,1),FALSE),0)+IFERROR(VLOOKUP($B23,'RA2-Elevated Dumps Slopes'!$A$11:$BN$18,MATCH(Summary!K$1,'RA2-Elevated Dumps Slopes'!$A$9:$BN$9,1),FALSE),0)+IFERROR(VLOOKUP($B23,'RA3-Backfilled Pits'!$A$11:$BN$18,MATCH(Summary!K$1,'RA3-Backfilled Pits'!$A$9:$BN$9,1),FALSE),0)+IFERROR(VLOOKUP($B23,'RA4-Tracks_Roads'!$A$11:$BN$18,MATCH(Summary!K$1,'RA4-Tracks_Roads'!$A$9:$BN$9,1),FALSE),0)+IFERROR(VLOOKUP($B23,'RA5-ROM'!$A$11:$BN$18,MATCH(Summary!K$1,'RA5-ROM'!$A$9:$BN$9,1),FALSE),0)+IFERROR(VLOOKUP($B23,'RA6-CHPP'!$A$11:$BN$18,MATCH(Summary!K$1,'RA6-CHPP'!$A$9:$BN$9,1),FALSE),0)+IFERROR(VLOOKUP($B23,'RA7-Mine Infrastructure Area'!$A$11:$BN$18,MATCH(Summary!K$1,'RA7-Mine Infrastructure Area'!$A$9:$BN$9,1),FALSE),0)+IFERROR(VLOOKUP($B23,'RA8-Water Management Structures'!$A$11:$BN$18,MATCH(Summary!K$1,'RA8-Water Management Structures'!$A$9:$BN$9,1),FALSE),0)+IFERROR(VLOOKUP($B23,'RA9-Codisposal Upper'!$A$11:$BN$18,MATCH(Summary!K$1,'RA9-Codisposal Upper'!$A$9:$BN$9,1),FALSE),0)+IFERROR(VLOOKUP($B23,'RA10-Codisposal Slopes'!$A$11:$BN$18,MATCH(Summary!K$1,'RA10-Codisposal Slopes'!$A$9:$BN$9,1),FALSE),0)+IFERROR(VLOOKUP($B23,'IA1-Final Void inc Ramps'!$A$11:$BN$18,MATCH(Summary!K$1,'IA1-Final Void inc Ramps'!$A$9:$BN$9,1),FALSE),0)</f>
        <v>0</v>
      </c>
      <c r="L23" s="51">
        <f>IFERROR(VLOOKUP($B23,'RA1- Elevated Dumps Upper'!$A$11:$BN$18,MATCH(Summary!L$1,'RA1- Elevated Dumps Upper'!$A$9:$BN$9,1),FALSE),0)+IFERROR(VLOOKUP($B23,'RA2-Elevated Dumps Slopes'!$A$11:$BN$18,MATCH(Summary!L$1,'RA2-Elevated Dumps Slopes'!$A$9:$BN$9,1),FALSE),0)+IFERROR(VLOOKUP($B23,'RA3-Backfilled Pits'!$A$11:$BN$18,MATCH(Summary!L$1,'RA3-Backfilled Pits'!$A$9:$BN$9,1),FALSE),0)+IFERROR(VLOOKUP($B23,'RA4-Tracks_Roads'!$A$11:$BN$18,MATCH(Summary!L$1,'RA4-Tracks_Roads'!$A$9:$BN$9,1),FALSE),0)+IFERROR(VLOOKUP($B23,'RA5-ROM'!$A$11:$BN$18,MATCH(Summary!L$1,'RA5-ROM'!$A$9:$BN$9,1),FALSE),0)+IFERROR(VLOOKUP($B23,'RA6-CHPP'!$A$11:$BN$18,MATCH(Summary!L$1,'RA6-CHPP'!$A$9:$BN$9,1),FALSE),0)+IFERROR(VLOOKUP($B23,'RA7-Mine Infrastructure Area'!$A$11:$BN$18,MATCH(Summary!L$1,'RA7-Mine Infrastructure Area'!$A$9:$BN$9,1),FALSE),0)+IFERROR(VLOOKUP($B23,'RA8-Water Management Structures'!$A$11:$BN$18,MATCH(Summary!L$1,'RA8-Water Management Structures'!$A$9:$BN$9,1),FALSE),0)+IFERROR(VLOOKUP($B23,'RA9-Codisposal Upper'!$A$11:$BN$18,MATCH(Summary!L$1,'RA9-Codisposal Upper'!$A$9:$BN$9,1),FALSE),0)+IFERROR(VLOOKUP($B23,'RA10-Codisposal Slopes'!$A$11:$BN$18,MATCH(Summary!L$1,'RA10-Codisposal Slopes'!$A$9:$BN$9,1),FALSE),0)+IFERROR(VLOOKUP($B23,'IA1-Final Void inc Ramps'!$A$11:$BN$18,MATCH(Summary!L$1,'IA1-Final Void inc Ramps'!$A$9:$BN$9,1),FALSE),0)</f>
        <v>0</v>
      </c>
      <c r="M23" s="51">
        <f>IFERROR(VLOOKUP($B23,'RA1- Elevated Dumps Upper'!$A$11:$BN$18,MATCH(Summary!M$1,'RA1- Elevated Dumps Upper'!$A$9:$BN$9,1),FALSE),0)+IFERROR(VLOOKUP($B23,'RA2-Elevated Dumps Slopes'!$A$11:$BN$18,MATCH(Summary!M$1,'RA2-Elevated Dumps Slopes'!$A$9:$BN$9,1),FALSE),0)+IFERROR(VLOOKUP($B23,'RA3-Backfilled Pits'!$A$11:$BN$18,MATCH(Summary!M$1,'RA3-Backfilled Pits'!$A$9:$BN$9,1),FALSE),0)+IFERROR(VLOOKUP($B23,'RA4-Tracks_Roads'!$A$11:$BN$18,MATCH(Summary!M$1,'RA4-Tracks_Roads'!$A$9:$BN$9,1),FALSE),0)+IFERROR(VLOOKUP($B23,'RA5-ROM'!$A$11:$BN$18,MATCH(Summary!M$1,'RA5-ROM'!$A$9:$BN$9,1),FALSE),0)+IFERROR(VLOOKUP($B23,'RA6-CHPP'!$A$11:$BN$18,MATCH(Summary!M$1,'RA6-CHPP'!$A$9:$BN$9,1),FALSE),0)+IFERROR(VLOOKUP($B23,'RA7-Mine Infrastructure Area'!$A$11:$BN$18,MATCH(Summary!M$1,'RA7-Mine Infrastructure Area'!$A$9:$BN$9,1),FALSE),0)+IFERROR(VLOOKUP($B23,'RA8-Water Management Structures'!$A$11:$BN$18,MATCH(Summary!M$1,'RA8-Water Management Structures'!$A$9:$BN$9,1),FALSE),0)+IFERROR(VLOOKUP($B23,'RA9-Codisposal Upper'!$A$11:$BN$18,MATCH(Summary!M$1,'RA9-Codisposal Upper'!$A$9:$BN$9,1),FALSE),0)+IFERROR(VLOOKUP($B23,'RA10-Codisposal Slopes'!$A$11:$BN$18,MATCH(Summary!M$1,'RA10-Codisposal Slopes'!$A$9:$BN$9,1),FALSE),0)+IFERROR(VLOOKUP($B23,'IA1-Final Void inc Ramps'!$A$11:$BN$18,MATCH(Summary!M$1,'IA1-Final Void inc Ramps'!$A$9:$BN$9,1),FALSE),0)</f>
        <v>0</v>
      </c>
      <c r="N23" s="51">
        <f>IFERROR(VLOOKUP($B23,'RA1- Elevated Dumps Upper'!$A$11:$BN$18,MATCH(Summary!N$1,'RA1- Elevated Dumps Upper'!$A$9:$BN$9,1),FALSE),0)+IFERROR(VLOOKUP($B23,'RA2-Elevated Dumps Slopes'!$A$11:$BN$18,MATCH(Summary!N$1,'RA2-Elevated Dumps Slopes'!$A$9:$BN$9,1),FALSE),0)+IFERROR(VLOOKUP($B23,'RA3-Backfilled Pits'!$A$11:$BN$18,MATCH(Summary!N$1,'RA3-Backfilled Pits'!$A$9:$BN$9,1),FALSE),0)+IFERROR(VLOOKUP($B23,'RA4-Tracks_Roads'!$A$11:$BN$18,MATCH(Summary!N$1,'RA4-Tracks_Roads'!$A$9:$BN$9,1),FALSE),0)+IFERROR(VLOOKUP($B23,'RA5-ROM'!$A$11:$BN$18,MATCH(Summary!N$1,'RA5-ROM'!$A$9:$BN$9,1),FALSE),0)+IFERROR(VLOOKUP($B23,'RA6-CHPP'!$A$11:$BN$18,MATCH(Summary!N$1,'RA6-CHPP'!$A$9:$BN$9,1),FALSE),0)+IFERROR(VLOOKUP($B23,'RA7-Mine Infrastructure Area'!$A$11:$BN$18,MATCH(Summary!N$1,'RA7-Mine Infrastructure Area'!$A$9:$BN$9,1),FALSE),0)+IFERROR(VLOOKUP($B23,'RA8-Water Management Structures'!$A$11:$BN$18,MATCH(Summary!N$1,'RA8-Water Management Structures'!$A$9:$BN$9,1),FALSE),0)+IFERROR(VLOOKUP($B23,'RA9-Codisposal Upper'!$A$11:$BN$18,MATCH(Summary!N$1,'RA9-Codisposal Upper'!$A$9:$BN$9,1),FALSE),0)+IFERROR(VLOOKUP($B23,'RA10-Codisposal Slopes'!$A$11:$BN$18,MATCH(Summary!N$1,'RA10-Codisposal Slopes'!$A$9:$BN$9,1),FALSE),0)+IFERROR(VLOOKUP($B23,'IA1-Final Void inc Ramps'!$A$11:$BN$18,MATCH(Summary!N$1,'IA1-Final Void inc Ramps'!$A$9:$BN$9,1),FALSE),0)</f>
        <v>0</v>
      </c>
      <c r="O23" s="51">
        <f>IFERROR(VLOOKUP($B23,'RA1- Elevated Dumps Upper'!$A$11:$BN$18,MATCH(Summary!O$1,'RA1- Elevated Dumps Upper'!$A$9:$BN$9,1),FALSE),0)+IFERROR(VLOOKUP($B23,'RA2-Elevated Dumps Slopes'!$A$11:$BN$18,MATCH(Summary!O$1,'RA2-Elevated Dumps Slopes'!$A$9:$BN$9,1),FALSE),0)+IFERROR(VLOOKUP($B23,'RA3-Backfilled Pits'!$A$11:$BN$18,MATCH(Summary!O$1,'RA3-Backfilled Pits'!$A$9:$BN$9,1),FALSE),0)+IFERROR(VLOOKUP($B23,'RA4-Tracks_Roads'!$A$11:$BN$18,MATCH(Summary!O$1,'RA4-Tracks_Roads'!$A$9:$BN$9,1),FALSE),0)+IFERROR(VLOOKUP($B23,'RA5-ROM'!$A$11:$BN$18,MATCH(Summary!O$1,'RA5-ROM'!$A$9:$BN$9,1),FALSE),0)+IFERROR(VLOOKUP($B23,'RA6-CHPP'!$A$11:$BN$18,MATCH(Summary!O$1,'RA6-CHPP'!$A$9:$BN$9,1),FALSE),0)+IFERROR(VLOOKUP($B23,'RA7-Mine Infrastructure Area'!$A$11:$BN$18,MATCH(Summary!O$1,'RA7-Mine Infrastructure Area'!$A$9:$BN$9,1),FALSE),0)+IFERROR(VLOOKUP($B23,'RA8-Water Management Structures'!$A$11:$BN$18,MATCH(Summary!O$1,'RA8-Water Management Structures'!$A$9:$BN$9,1),FALSE),0)+IFERROR(VLOOKUP($B23,'RA9-Codisposal Upper'!$A$11:$BN$18,MATCH(Summary!O$1,'RA9-Codisposal Upper'!$A$9:$BN$9,1),FALSE),0)+IFERROR(VLOOKUP($B23,'RA10-Codisposal Slopes'!$A$11:$BN$18,MATCH(Summary!O$1,'RA10-Codisposal Slopes'!$A$9:$BN$9,1),FALSE),0)+IFERROR(VLOOKUP($B23,'IA1-Final Void inc Ramps'!$A$11:$BN$18,MATCH(Summary!O$1,'IA1-Final Void inc Ramps'!$A$9:$BN$9,1),FALSE),0)</f>
        <v>0</v>
      </c>
      <c r="P23" s="51">
        <f>IFERROR(VLOOKUP($B23,'RA1- Elevated Dumps Upper'!$A$11:$BN$18,MATCH(Summary!P$1,'RA1- Elevated Dumps Upper'!$A$9:$BN$9,1),FALSE),0)+IFERROR(VLOOKUP($B23,'RA2-Elevated Dumps Slopes'!$A$11:$BN$18,MATCH(Summary!P$1,'RA2-Elevated Dumps Slopes'!$A$9:$BN$9,1),FALSE),0)+IFERROR(VLOOKUP($B23,'RA3-Backfilled Pits'!$A$11:$BN$18,MATCH(Summary!P$1,'RA3-Backfilled Pits'!$A$9:$BN$9,1),FALSE),0)+IFERROR(VLOOKUP($B23,'RA4-Tracks_Roads'!$A$11:$BN$18,MATCH(Summary!P$1,'RA4-Tracks_Roads'!$A$9:$BN$9,1),FALSE),0)+IFERROR(VLOOKUP($B23,'RA5-ROM'!$A$11:$BN$18,MATCH(Summary!P$1,'RA5-ROM'!$A$9:$BN$9,1),FALSE),0)+IFERROR(VLOOKUP($B23,'RA6-CHPP'!$A$11:$BN$18,MATCH(Summary!P$1,'RA6-CHPP'!$A$9:$BN$9,1),FALSE),0)+IFERROR(VLOOKUP($B23,'RA7-Mine Infrastructure Area'!$A$11:$BN$18,MATCH(Summary!P$1,'RA7-Mine Infrastructure Area'!$A$9:$BN$9,1),FALSE),0)+IFERROR(VLOOKUP($B23,'RA8-Water Management Structures'!$A$11:$BN$18,MATCH(Summary!P$1,'RA8-Water Management Structures'!$A$9:$BN$9,1),FALSE),0)+IFERROR(VLOOKUP($B23,'RA9-Codisposal Upper'!$A$11:$BN$18,MATCH(Summary!P$1,'RA9-Codisposal Upper'!$A$9:$BN$9,1),FALSE),0)+IFERROR(VLOOKUP($B23,'RA10-Codisposal Slopes'!$A$11:$BN$18,MATCH(Summary!P$1,'RA10-Codisposal Slopes'!$A$9:$BN$9,1),FALSE),0)+IFERROR(VLOOKUP($B23,'IA1-Final Void inc Ramps'!$A$11:$BN$18,MATCH(Summary!P$1,'IA1-Final Void inc Ramps'!$A$9:$BN$9,1),FALSE),0)</f>
        <v>0</v>
      </c>
      <c r="Q23" s="51">
        <f>IFERROR(VLOOKUP($B23,'RA1- Elevated Dumps Upper'!$A$11:$BN$18,MATCH(Summary!Q$1,'RA1- Elevated Dumps Upper'!$A$9:$BN$9,1),FALSE),0)+IFERROR(VLOOKUP($B23,'RA2-Elevated Dumps Slopes'!$A$11:$BN$18,MATCH(Summary!Q$1,'RA2-Elevated Dumps Slopes'!$A$9:$BN$9,1),FALSE),0)+IFERROR(VLOOKUP($B23,'RA3-Backfilled Pits'!$A$11:$BN$18,MATCH(Summary!Q$1,'RA3-Backfilled Pits'!$A$9:$BN$9,1),FALSE),0)+IFERROR(VLOOKUP($B23,'RA4-Tracks_Roads'!$A$11:$BN$18,MATCH(Summary!Q$1,'RA4-Tracks_Roads'!$A$9:$BN$9,1),FALSE),0)+IFERROR(VLOOKUP($B23,'RA5-ROM'!$A$11:$BN$18,MATCH(Summary!Q$1,'RA5-ROM'!$A$9:$BN$9,1),FALSE),0)+IFERROR(VLOOKUP($B23,'RA6-CHPP'!$A$11:$BN$18,MATCH(Summary!Q$1,'RA6-CHPP'!$A$9:$BN$9,1),FALSE),0)+IFERROR(VLOOKUP($B23,'RA7-Mine Infrastructure Area'!$A$11:$BN$18,MATCH(Summary!Q$1,'RA7-Mine Infrastructure Area'!$A$9:$BN$9,1),FALSE),0)+IFERROR(VLOOKUP($B23,'RA8-Water Management Structures'!$A$11:$BN$18,MATCH(Summary!Q$1,'RA8-Water Management Structures'!$A$9:$BN$9,1),FALSE),0)+IFERROR(VLOOKUP($B23,'RA9-Codisposal Upper'!$A$11:$BN$18,MATCH(Summary!Q$1,'RA9-Codisposal Upper'!$A$9:$BN$9,1),FALSE),0)+IFERROR(VLOOKUP($B23,'RA10-Codisposal Slopes'!$A$11:$BN$18,MATCH(Summary!Q$1,'RA10-Codisposal Slopes'!$A$9:$BN$9,1),FALSE),0)+IFERROR(VLOOKUP($B23,'IA1-Final Void inc Ramps'!$A$11:$BN$18,MATCH(Summary!Q$1,'IA1-Final Void inc Ramps'!$A$9:$BN$9,1),FALSE),0)</f>
        <v>0</v>
      </c>
      <c r="R23" s="51">
        <f>IFERROR(VLOOKUP($B23,'RA1- Elevated Dumps Upper'!$A$11:$BN$18,MATCH(Summary!R$1,'RA1- Elevated Dumps Upper'!$A$9:$BN$9,1),FALSE),0)+IFERROR(VLOOKUP($B23,'RA2-Elevated Dumps Slopes'!$A$11:$BN$18,MATCH(Summary!R$1,'RA2-Elevated Dumps Slopes'!$A$9:$BN$9,1),FALSE),0)+IFERROR(VLOOKUP($B23,'RA3-Backfilled Pits'!$A$11:$BN$18,MATCH(Summary!R$1,'RA3-Backfilled Pits'!$A$9:$BN$9,1),FALSE),0)+IFERROR(VLOOKUP($B23,'RA4-Tracks_Roads'!$A$11:$BN$18,MATCH(Summary!R$1,'RA4-Tracks_Roads'!$A$9:$BN$9,1),FALSE),0)+IFERROR(VLOOKUP($B23,'RA5-ROM'!$A$11:$BN$18,MATCH(Summary!R$1,'RA5-ROM'!$A$9:$BN$9,1),FALSE),0)+IFERROR(VLOOKUP($B23,'RA6-CHPP'!$A$11:$BN$18,MATCH(Summary!R$1,'RA6-CHPP'!$A$9:$BN$9,1),FALSE),0)+IFERROR(VLOOKUP($B23,'RA7-Mine Infrastructure Area'!$A$11:$BN$18,MATCH(Summary!R$1,'RA7-Mine Infrastructure Area'!$A$9:$BN$9,1),FALSE),0)+IFERROR(VLOOKUP($B23,'RA8-Water Management Structures'!$A$11:$BN$18,MATCH(Summary!R$1,'RA8-Water Management Structures'!$A$9:$BN$9,1),FALSE),0)+IFERROR(VLOOKUP($B23,'RA9-Codisposal Upper'!$A$11:$BN$18,MATCH(Summary!R$1,'RA9-Codisposal Upper'!$A$9:$BN$9,1),FALSE),0)+IFERROR(VLOOKUP($B23,'RA10-Codisposal Slopes'!$A$11:$BN$18,MATCH(Summary!R$1,'RA10-Codisposal Slopes'!$A$9:$BN$9,1),FALSE),0)+IFERROR(VLOOKUP($B23,'IA1-Final Void inc Ramps'!$A$11:$BN$18,MATCH(Summary!R$1,'IA1-Final Void inc Ramps'!$A$9:$BN$9,1),FALSE),0)</f>
        <v>0</v>
      </c>
      <c r="S23" s="51">
        <f>IFERROR(VLOOKUP($B23,'RA1- Elevated Dumps Upper'!$A$11:$BN$18,MATCH(Summary!S$1,'RA1- Elevated Dumps Upper'!$A$9:$BN$9,1),FALSE),0)+IFERROR(VLOOKUP($B23,'RA2-Elevated Dumps Slopes'!$A$11:$BN$18,MATCH(Summary!S$1,'RA2-Elevated Dumps Slopes'!$A$9:$BN$9,1),FALSE),0)+IFERROR(VLOOKUP($B23,'RA3-Backfilled Pits'!$A$11:$BN$18,MATCH(Summary!S$1,'RA3-Backfilled Pits'!$A$9:$BN$9,1),FALSE),0)+IFERROR(VLOOKUP($B23,'RA4-Tracks_Roads'!$A$11:$BN$18,MATCH(Summary!S$1,'RA4-Tracks_Roads'!$A$9:$BN$9,1),FALSE),0)+IFERROR(VLOOKUP($B23,'RA5-ROM'!$A$11:$BN$18,MATCH(Summary!S$1,'RA5-ROM'!$A$9:$BN$9,1),FALSE),0)+IFERROR(VLOOKUP($B23,'RA6-CHPP'!$A$11:$BN$18,MATCH(Summary!S$1,'RA6-CHPP'!$A$9:$BN$9,1),FALSE),0)+IFERROR(VLOOKUP($B23,'RA7-Mine Infrastructure Area'!$A$11:$BN$18,MATCH(Summary!S$1,'RA7-Mine Infrastructure Area'!$A$9:$BN$9,1),FALSE),0)+IFERROR(VLOOKUP($B23,'RA8-Water Management Structures'!$A$11:$BN$18,MATCH(Summary!S$1,'RA8-Water Management Structures'!$A$9:$BN$9,1),FALSE),0)+IFERROR(VLOOKUP($B23,'RA9-Codisposal Upper'!$A$11:$BN$18,MATCH(Summary!S$1,'RA9-Codisposal Upper'!$A$9:$BN$9,1),FALSE),0)+IFERROR(VLOOKUP($B23,'RA10-Codisposal Slopes'!$A$11:$BN$18,MATCH(Summary!S$1,'RA10-Codisposal Slopes'!$A$9:$BN$9,1),FALSE),0)+IFERROR(VLOOKUP($B23,'IA1-Final Void inc Ramps'!$A$11:$BN$18,MATCH(Summary!S$1,'IA1-Final Void inc Ramps'!$A$9:$BN$9,1),FALSE),0)</f>
        <v>0</v>
      </c>
      <c r="T23" s="51">
        <f>IFERROR(VLOOKUP($B23,'RA1- Elevated Dumps Upper'!$A$11:$BN$18,MATCH(Summary!T$1,'RA1- Elevated Dumps Upper'!$A$9:$BN$9,1),FALSE),0)+IFERROR(VLOOKUP($B23,'RA2-Elevated Dumps Slopes'!$A$11:$BN$18,MATCH(Summary!T$1,'RA2-Elevated Dumps Slopes'!$A$9:$BN$9,1),FALSE),0)+IFERROR(VLOOKUP($B23,'RA3-Backfilled Pits'!$A$11:$BN$18,MATCH(Summary!T$1,'RA3-Backfilled Pits'!$A$9:$BN$9,1),FALSE),0)+IFERROR(VLOOKUP($B23,'RA4-Tracks_Roads'!$A$11:$BN$18,MATCH(Summary!T$1,'RA4-Tracks_Roads'!$A$9:$BN$9,1),FALSE),0)+IFERROR(VLOOKUP($B23,'RA5-ROM'!$A$11:$BN$18,MATCH(Summary!T$1,'RA5-ROM'!$A$9:$BN$9,1),FALSE),0)+IFERROR(VLOOKUP($B23,'RA6-CHPP'!$A$11:$BN$18,MATCH(Summary!T$1,'RA6-CHPP'!$A$9:$BN$9,1),FALSE),0)+IFERROR(VLOOKUP($B23,'RA7-Mine Infrastructure Area'!$A$11:$BN$18,MATCH(Summary!T$1,'RA7-Mine Infrastructure Area'!$A$9:$BN$9,1),FALSE),0)+IFERROR(VLOOKUP($B23,'RA8-Water Management Structures'!$A$11:$BN$18,MATCH(Summary!T$1,'RA8-Water Management Structures'!$A$9:$BN$9,1),FALSE),0)+IFERROR(VLOOKUP($B23,'RA9-Codisposal Upper'!$A$11:$BN$18,MATCH(Summary!T$1,'RA9-Codisposal Upper'!$A$9:$BN$9,1),FALSE),0)+IFERROR(VLOOKUP($B23,'RA10-Codisposal Slopes'!$A$11:$BN$18,MATCH(Summary!T$1,'RA10-Codisposal Slopes'!$A$9:$BN$9,1),FALSE),0)+IFERROR(VLOOKUP($B23,'IA1-Final Void inc Ramps'!$A$11:$BN$18,MATCH(Summary!T$1,'IA1-Final Void inc Ramps'!$A$9:$BN$9,1),FALSE),0)</f>
        <v>0</v>
      </c>
      <c r="U23" s="51">
        <f>IFERROR(VLOOKUP($B23,'RA1- Elevated Dumps Upper'!$A$11:$BN$18,MATCH(Summary!U$1,'RA1- Elevated Dumps Upper'!$A$9:$BN$9,1),FALSE),0)+IFERROR(VLOOKUP($B23,'RA2-Elevated Dumps Slopes'!$A$11:$BN$18,MATCH(Summary!U$1,'RA2-Elevated Dumps Slopes'!$A$9:$BN$9,1),FALSE),0)+IFERROR(VLOOKUP($B23,'RA3-Backfilled Pits'!$A$11:$BN$18,MATCH(Summary!U$1,'RA3-Backfilled Pits'!$A$9:$BN$9,1),FALSE),0)+IFERROR(VLOOKUP($B23,'RA4-Tracks_Roads'!$A$11:$BN$18,MATCH(Summary!U$1,'RA4-Tracks_Roads'!$A$9:$BN$9,1),FALSE),0)+IFERROR(VLOOKUP($B23,'RA5-ROM'!$A$11:$BN$18,MATCH(Summary!U$1,'RA5-ROM'!$A$9:$BN$9,1),FALSE),0)+IFERROR(VLOOKUP($B23,'RA6-CHPP'!$A$11:$BN$18,MATCH(Summary!U$1,'RA6-CHPP'!$A$9:$BN$9,1),FALSE),0)+IFERROR(VLOOKUP($B23,'RA7-Mine Infrastructure Area'!$A$11:$BN$18,MATCH(Summary!U$1,'RA7-Mine Infrastructure Area'!$A$9:$BN$9,1),FALSE),0)+IFERROR(VLOOKUP($B23,'RA8-Water Management Structures'!$A$11:$BN$18,MATCH(Summary!U$1,'RA8-Water Management Structures'!$A$9:$BN$9,1),FALSE),0)+IFERROR(VLOOKUP($B23,'RA9-Codisposal Upper'!$A$11:$BN$18,MATCH(Summary!U$1,'RA9-Codisposal Upper'!$A$9:$BN$9,1),FALSE),0)+IFERROR(VLOOKUP($B23,'RA10-Codisposal Slopes'!$A$11:$BN$18,MATCH(Summary!U$1,'RA10-Codisposal Slopes'!$A$9:$BN$9,1),FALSE),0)+IFERROR(VLOOKUP($B23,'IA1-Final Void inc Ramps'!$A$11:$BN$18,MATCH(Summary!U$1,'IA1-Final Void inc Ramps'!$A$9:$BN$9,1),FALSE),0)</f>
        <v>0</v>
      </c>
      <c r="V23" s="51">
        <f>IFERROR(VLOOKUP($B23,'RA1- Elevated Dumps Upper'!$A$11:$BN$18,MATCH(Summary!V$1,'RA1- Elevated Dumps Upper'!$A$9:$BN$9,1),FALSE),0)+IFERROR(VLOOKUP($B23,'RA2-Elevated Dumps Slopes'!$A$11:$BN$18,MATCH(Summary!V$1,'RA2-Elevated Dumps Slopes'!$A$9:$BN$9,1),FALSE),0)+IFERROR(VLOOKUP($B23,'RA3-Backfilled Pits'!$A$11:$BN$18,MATCH(Summary!V$1,'RA3-Backfilled Pits'!$A$9:$BN$9,1),FALSE),0)+IFERROR(VLOOKUP($B23,'RA4-Tracks_Roads'!$A$11:$BN$18,MATCH(Summary!V$1,'RA4-Tracks_Roads'!$A$9:$BN$9,1),FALSE),0)+IFERROR(VLOOKUP($B23,'RA5-ROM'!$A$11:$BN$18,MATCH(Summary!V$1,'RA5-ROM'!$A$9:$BN$9,1),FALSE),0)+IFERROR(VLOOKUP($B23,'RA6-CHPP'!$A$11:$BN$18,MATCH(Summary!V$1,'RA6-CHPP'!$A$9:$BN$9,1),FALSE),0)+IFERROR(VLOOKUP($B23,'RA7-Mine Infrastructure Area'!$A$11:$BN$18,MATCH(Summary!V$1,'RA7-Mine Infrastructure Area'!$A$9:$BN$9,1),FALSE),0)+IFERROR(VLOOKUP($B23,'RA8-Water Management Structures'!$A$11:$BN$18,MATCH(Summary!V$1,'RA8-Water Management Structures'!$A$9:$BN$9,1),FALSE),0)+IFERROR(VLOOKUP($B23,'RA9-Codisposal Upper'!$A$11:$BN$18,MATCH(Summary!V$1,'RA9-Codisposal Upper'!$A$9:$BN$9,1),FALSE),0)+IFERROR(VLOOKUP($B23,'RA10-Codisposal Slopes'!$A$11:$BN$18,MATCH(Summary!V$1,'RA10-Codisposal Slopes'!$A$9:$BN$9,1),FALSE),0)+IFERROR(VLOOKUP($B23,'IA1-Final Void inc Ramps'!$A$11:$BN$18,MATCH(Summary!V$1,'IA1-Final Void inc Ramps'!$A$9:$BN$9,1),FALSE),0)</f>
        <v>0</v>
      </c>
      <c r="W23" s="51">
        <f>IFERROR(VLOOKUP($B23,'RA1- Elevated Dumps Upper'!$A$11:$BN$18,MATCH(Summary!W$1,'RA1- Elevated Dumps Upper'!$A$9:$BN$9,1),FALSE),0)+IFERROR(VLOOKUP($B23,'RA2-Elevated Dumps Slopes'!$A$11:$BN$18,MATCH(Summary!W$1,'RA2-Elevated Dumps Slopes'!$A$9:$BN$9,1),FALSE),0)+IFERROR(VLOOKUP($B23,'RA3-Backfilled Pits'!$A$11:$BN$18,MATCH(Summary!W$1,'RA3-Backfilled Pits'!$A$9:$BN$9,1),FALSE),0)+IFERROR(VLOOKUP($B23,'RA4-Tracks_Roads'!$A$11:$BN$18,MATCH(Summary!W$1,'RA4-Tracks_Roads'!$A$9:$BN$9,1),FALSE),0)+IFERROR(VLOOKUP($B23,'RA5-ROM'!$A$11:$BN$18,MATCH(Summary!W$1,'RA5-ROM'!$A$9:$BN$9,1),FALSE),0)+IFERROR(VLOOKUP($B23,'RA6-CHPP'!$A$11:$BN$18,MATCH(Summary!W$1,'RA6-CHPP'!$A$9:$BN$9,1),FALSE),0)+IFERROR(VLOOKUP($B23,'RA7-Mine Infrastructure Area'!$A$11:$BN$18,MATCH(Summary!W$1,'RA7-Mine Infrastructure Area'!$A$9:$BN$9,1),FALSE),0)+IFERROR(VLOOKUP($B23,'RA8-Water Management Structures'!$A$11:$BN$18,MATCH(Summary!W$1,'RA8-Water Management Structures'!$A$9:$BN$9,1),FALSE),0)+IFERROR(VLOOKUP($B23,'RA9-Codisposal Upper'!$A$11:$BN$18,MATCH(Summary!W$1,'RA9-Codisposal Upper'!$A$9:$BN$9,1),FALSE),0)+IFERROR(VLOOKUP($B23,'RA10-Codisposal Slopes'!$A$11:$BN$18,MATCH(Summary!W$1,'RA10-Codisposal Slopes'!$A$9:$BN$9,1),FALSE),0)+IFERROR(VLOOKUP($B23,'IA1-Final Void inc Ramps'!$A$11:$BN$18,MATCH(Summary!W$1,'IA1-Final Void inc Ramps'!$A$9:$BN$9,1),FALSE),0)</f>
        <v>0</v>
      </c>
      <c r="X23" s="51">
        <f>IFERROR(VLOOKUP($B23,'RA1- Elevated Dumps Upper'!$A$11:$BN$18,MATCH(Summary!X$1,'RA1- Elevated Dumps Upper'!$A$9:$BN$9,1),FALSE),0)+IFERROR(VLOOKUP($B23,'RA2-Elevated Dumps Slopes'!$A$11:$BN$18,MATCH(Summary!X$1,'RA2-Elevated Dumps Slopes'!$A$9:$BN$9,1),FALSE),0)+IFERROR(VLOOKUP($B23,'RA3-Backfilled Pits'!$A$11:$BN$18,MATCH(Summary!X$1,'RA3-Backfilled Pits'!$A$9:$BN$9,1),FALSE),0)+IFERROR(VLOOKUP($B23,'RA4-Tracks_Roads'!$A$11:$BN$18,MATCH(Summary!X$1,'RA4-Tracks_Roads'!$A$9:$BN$9,1),FALSE),0)+IFERROR(VLOOKUP($B23,'RA5-ROM'!$A$11:$BN$18,MATCH(Summary!X$1,'RA5-ROM'!$A$9:$BN$9,1),FALSE),0)+IFERROR(VLOOKUP($B23,'RA6-CHPP'!$A$11:$BN$18,MATCH(Summary!X$1,'RA6-CHPP'!$A$9:$BN$9,1),FALSE),0)+IFERROR(VLOOKUP($B23,'RA7-Mine Infrastructure Area'!$A$11:$BN$18,MATCH(Summary!X$1,'RA7-Mine Infrastructure Area'!$A$9:$BN$9,1),FALSE),0)+IFERROR(VLOOKUP($B23,'RA8-Water Management Structures'!$A$11:$BN$18,MATCH(Summary!X$1,'RA8-Water Management Structures'!$A$9:$BN$9,1),FALSE),0)+IFERROR(VLOOKUP($B23,'RA9-Codisposal Upper'!$A$11:$BN$18,MATCH(Summary!X$1,'RA9-Codisposal Upper'!$A$9:$BN$9,1),FALSE),0)+IFERROR(VLOOKUP($B23,'RA10-Codisposal Slopes'!$A$11:$BN$18,MATCH(Summary!X$1,'RA10-Codisposal Slopes'!$A$9:$BN$9,1),FALSE),0)+IFERROR(VLOOKUP($B23,'IA1-Final Void inc Ramps'!$A$11:$BN$18,MATCH(Summary!X$1,'IA1-Final Void inc Ramps'!$A$9:$BN$9,1),FALSE),0)</f>
        <v>0</v>
      </c>
      <c r="Y23" s="51">
        <f>IFERROR(VLOOKUP($B23,'RA1- Elevated Dumps Upper'!$A$11:$BN$18,MATCH(Summary!Y$1,'RA1- Elevated Dumps Upper'!$A$9:$BN$9,1),FALSE),0)+IFERROR(VLOOKUP($B23,'RA2-Elevated Dumps Slopes'!$A$11:$BN$18,MATCH(Summary!Y$1,'RA2-Elevated Dumps Slopes'!$A$9:$BN$9,1),FALSE),0)+IFERROR(VLOOKUP($B23,'RA3-Backfilled Pits'!$A$11:$BN$18,MATCH(Summary!Y$1,'RA3-Backfilled Pits'!$A$9:$BN$9,1),FALSE),0)+IFERROR(VLOOKUP($B23,'RA4-Tracks_Roads'!$A$11:$BN$18,MATCH(Summary!Y$1,'RA4-Tracks_Roads'!$A$9:$BN$9,1),FALSE),0)+IFERROR(VLOOKUP($B23,'RA5-ROM'!$A$11:$BN$18,MATCH(Summary!Y$1,'RA5-ROM'!$A$9:$BN$9,1),FALSE),0)+IFERROR(VLOOKUP($B23,'RA6-CHPP'!$A$11:$BN$18,MATCH(Summary!Y$1,'RA6-CHPP'!$A$9:$BN$9,1),FALSE),0)+IFERROR(VLOOKUP($B23,'RA7-Mine Infrastructure Area'!$A$11:$BN$18,MATCH(Summary!Y$1,'RA7-Mine Infrastructure Area'!$A$9:$BN$9,1),FALSE),0)+IFERROR(VLOOKUP($B23,'RA8-Water Management Structures'!$A$11:$BN$18,MATCH(Summary!Y$1,'RA8-Water Management Structures'!$A$9:$BN$9,1),FALSE),0)+IFERROR(VLOOKUP($B23,'RA9-Codisposal Upper'!$A$11:$BN$18,MATCH(Summary!Y$1,'RA9-Codisposal Upper'!$A$9:$BN$9,1),FALSE),0)+IFERROR(VLOOKUP($B23,'RA10-Codisposal Slopes'!$A$11:$BN$18,MATCH(Summary!Y$1,'RA10-Codisposal Slopes'!$A$9:$BN$9,1),FALSE),0)+IFERROR(VLOOKUP($B23,'IA1-Final Void inc Ramps'!$A$11:$BN$18,MATCH(Summary!Y$1,'IA1-Final Void inc Ramps'!$A$9:$BN$9,1),FALSE),0)</f>
        <v>0</v>
      </c>
      <c r="Z23" s="51">
        <f>IFERROR(VLOOKUP($B23,'RA1- Elevated Dumps Upper'!$A$11:$BN$18,MATCH(Summary!Z$1,'RA1- Elevated Dumps Upper'!$A$9:$BN$9,1),FALSE),0)+IFERROR(VLOOKUP($B23,'RA2-Elevated Dumps Slopes'!$A$11:$BN$18,MATCH(Summary!Z$1,'RA2-Elevated Dumps Slopes'!$A$9:$BN$9,1),FALSE),0)+IFERROR(VLOOKUP($B23,'RA3-Backfilled Pits'!$A$11:$BN$18,MATCH(Summary!Z$1,'RA3-Backfilled Pits'!$A$9:$BN$9,1),FALSE),0)+IFERROR(VLOOKUP($B23,'RA4-Tracks_Roads'!$A$11:$BN$18,MATCH(Summary!Z$1,'RA4-Tracks_Roads'!$A$9:$BN$9,1),FALSE),0)+IFERROR(VLOOKUP($B23,'RA5-ROM'!$A$11:$BN$18,MATCH(Summary!Z$1,'RA5-ROM'!$A$9:$BN$9,1),FALSE),0)+IFERROR(VLOOKUP($B23,'RA6-CHPP'!$A$11:$BN$18,MATCH(Summary!Z$1,'RA6-CHPP'!$A$9:$BN$9,1),FALSE),0)+IFERROR(VLOOKUP($B23,'RA7-Mine Infrastructure Area'!$A$11:$BN$18,MATCH(Summary!Z$1,'RA7-Mine Infrastructure Area'!$A$9:$BN$9,1),FALSE),0)+IFERROR(VLOOKUP($B23,'RA8-Water Management Structures'!$A$11:$BN$18,MATCH(Summary!Z$1,'RA8-Water Management Structures'!$A$9:$BN$9,1),FALSE),0)+IFERROR(VLOOKUP($B23,'RA9-Codisposal Upper'!$A$11:$BN$18,MATCH(Summary!Z$1,'RA9-Codisposal Upper'!$A$9:$BN$9,1),FALSE),0)+IFERROR(VLOOKUP($B23,'RA10-Codisposal Slopes'!$A$11:$BN$18,MATCH(Summary!Z$1,'RA10-Codisposal Slopes'!$A$9:$BN$9,1),FALSE),0)+IFERROR(VLOOKUP($B23,'IA1-Final Void inc Ramps'!$A$11:$BN$18,MATCH(Summary!Z$1,'IA1-Final Void inc Ramps'!$A$9:$BN$9,1),FALSE),0)</f>
        <v>0</v>
      </c>
      <c r="AA23" s="51">
        <f>IFERROR(VLOOKUP($B23,'RA1- Elevated Dumps Upper'!$A$11:$BN$18,MATCH(Summary!AA$1,'RA1- Elevated Dumps Upper'!$A$9:$BN$9,1),FALSE),0)+IFERROR(VLOOKUP($B23,'RA2-Elevated Dumps Slopes'!$A$11:$BN$18,MATCH(Summary!AA$1,'RA2-Elevated Dumps Slopes'!$A$9:$BN$9,1),FALSE),0)+IFERROR(VLOOKUP($B23,'RA3-Backfilled Pits'!$A$11:$BN$18,MATCH(Summary!AA$1,'RA3-Backfilled Pits'!$A$9:$BN$9,1),FALSE),0)+IFERROR(VLOOKUP($B23,'RA4-Tracks_Roads'!$A$11:$BN$18,MATCH(Summary!AA$1,'RA4-Tracks_Roads'!$A$9:$BN$9,1),FALSE),0)+IFERROR(VLOOKUP($B23,'RA5-ROM'!$A$11:$BN$18,MATCH(Summary!AA$1,'RA5-ROM'!$A$9:$BN$9,1),FALSE),0)+IFERROR(VLOOKUP($B23,'RA6-CHPP'!$A$11:$BN$18,MATCH(Summary!AA$1,'RA6-CHPP'!$A$9:$BN$9,1),FALSE),0)+IFERROR(VLOOKUP($B23,'RA7-Mine Infrastructure Area'!$A$11:$BN$18,MATCH(Summary!AA$1,'RA7-Mine Infrastructure Area'!$A$9:$BN$9,1),FALSE),0)+IFERROR(VLOOKUP($B23,'RA8-Water Management Structures'!$A$11:$BN$18,MATCH(Summary!AA$1,'RA8-Water Management Structures'!$A$9:$BN$9,1),FALSE),0)+IFERROR(VLOOKUP($B23,'RA9-Codisposal Upper'!$A$11:$BN$18,MATCH(Summary!AA$1,'RA9-Codisposal Upper'!$A$9:$BN$9,1),FALSE),0)+IFERROR(VLOOKUP($B23,'RA10-Codisposal Slopes'!$A$11:$BN$18,MATCH(Summary!AA$1,'RA10-Codisposal Slopes'!$A$9:$BN$9,1),FALSE),0)+IFERROR(VLOOKUP($B23,'IA1-Final Void inc Ramps'!$A$11:$BN$18,MATCH(Summary!AA$1,'IA1-Final Void inc Ramps'!$A$9:$BN$9,1),FALSE),0)</f>
        <v>0</v>
      </c>
      <c r="AB23" s="51">
        <f>IFERROR(VLOOKUP($B23,'RA1- Elevated Dumps Upper'!$A$11:$BN$18,MATCH(Summary!AB$1,'RA1- Elevated Dumps Upper'!$A$9:$BN$9,1),FALSE),0)+IFERROR(VLOOKUP($B23,'RA2-Elevated Dumps Slopes'!$A$11:$BN$18,MATCH(Summary!AB$1,'RA2-Elevated Dumps Slopes'!$A$9:$BN$9,1),FALSE),0)+IFERROR(VLOOKUP($B23,'RA3-Backfilled Pits'!$A$11:$BN$18,MATCH(Summary!AB$1,'RA3-Backfilled Pits'!$A$9:$BN$9,1),FALSE),0)+IFERROR(VLOOKUP($B23,'RA4-Tracks_Roads'!$A$11:$BN$18,MATCH(Summary!AB$1,'RA4-Tracks_Roads'!$A$9:$BN$9,1),FALSE),0)+IFERROR(VLOOKUP($B23,'RA5-ROM'!$A$11:$BN$18,MATCH(Summary!AB$1,'RA5-ROM'!$A$9:$BN$9,1),FALSE),0)+IFERROR(VLOOKUP($B23,'RA6-CHPP'!$A$11:$BN$18,MATCH(Summary!AB$1,'RA6-CHPP'!$A$9:$BN$9,1),FALSE),0)+IFERROR(VLOOKUP($B23,'RA7-Mine Infrastructure Area'!$A$11:$BN$18,MATCH(Summary!AB$1,'RA7-Mine Infrastructure Area'!$A$9:$BN$9,1),FALSE),0)+IFERROR(VLOOKUP($B23,'RA8-Water Management Structures'!$A$11:$BN$18,MATCH(Summary!AB$1,'RA8-Water Management Structures'!$A$9:$BN$9,1),FALSE),0)+IFERROR(VLOOKUP($B23,'RA9-Codisposal Upper'!$A$11:$BN$18,MATCH(Summary!AB$1,'RA9-Codisposal Upper'!$A$9:$BN$9,1),FALSE),0)+IFERROR(VLOOKUP($B23,'RA10-Codisposal Slopes'!$A$11:$BN$18,MATCH(Summary!AB$1,'RA10-Codisposal Slopes'!$A$9:$BN$9,1),FALSE),0)+IFERROR(VLOOKUP($B23,'IA1-Final Void inc Ramps'!$A$11:$BN$18,MATCH(Summary!AB$1,'IA1-Final Void inc Ramps'!$A$9:$BN$9,1),FALSE),0)</f>
        <v>0</v>
      </c>
      <c r="AC23" s="51">
        <f>IFERROR(VLOOKUP($B23,'RA1- Elevated Dumps Upper'!$A$11:$BN$18,MATCH(Summary!AC$1,'RA1- Elevated Dumps Upper'!$A$9:$BN$9,1),FALSE),0)+IFERROR(VLOOKUP($B23,'RA2-Elevated Dumps Slopes'!$A$11:$BN$18,MATCH(Summary!AC$1,'RA2-Elevated Dumps Slopes'!$A$9:$BN$9,1),FALSE),0)+IFERROR(VLOOKUP($B23,'RA3-Backfilled Pits'!$A$11:$BN$18,MATCH(Summary!AC$1,'RA3-Backfilled Pits'!$A$9:$BN$9,1),FALSE),0)+IFERROR(VLOOKUP($B23,'RA4-Tracks_Roads'!$A$11:$BN$18,MATCH(Summary!AC$1,'RA4-Tracks_Roads'!$A$9:$BN$9,1),FALSE),0)+IFERROR(VLOOKUP($B23,'RA5-ROM'!$A$11:$BN$18,MATCH(Summary!AC$1,'RA5-ROM'!$A$9:$BN$9,1),FALSE),0)+IFERROR(VLOOKUP($B23,'RA6-CHPP'!$A$11:$BN$18,MATCH(Summary!AC$1,'RA6-CHPP'!$A$9:$BN$9,1),FALSE),0)+IFERROR(VLOOKUP($B23,'RA7-Mine Infrastructure Area'!$A$11:$BN$18,MATCH(Summary!AC$1,'RA7-Mine Infrastructure Area'!$A$9:$BN$9,1),FALSE),0)+IFERROR(VLOOKUP($B23,'RA8-Water Management Structures'!$A$11:$BN$18,MATCH(Summary!AC$1,'RA8-Water Management Structures'!$A$9:$BN$9,1),FALSE),0)+IFERROR(VLOOKUP($B23,'RA9-Codisposal Upper'!$A$11:$BN$18,MATCH(Summary!AC$1,'RA9-Codisposal Upper'!$A$9:$BN$9,1),FALSE),0)+IFERROR(VLOOKUP($B23,'RA10-Codisposal Slopes'!$A$11:$BN$18,MATCH(Summary!AC$1,'RA10-Codisposal Slopes'!$A$9:$BN$9,1),FALSE),0)+IFERROR(VLOOKUP($B23,'IA1-Final Void inc Ramps'!$A$11:$BN$18,MATCH(Summary!AC$1,'IA1-Final Void inc Ramps'!$A$9:$BN$9,1),FALSE),0)</f>
        <v>0</v>
      </c>
      <c r="AD23" s="51">
        <f>IFERROR(VLOOKUP($B23,'RA1- Elevated Dumps Upper'!$A$11:$BN$18,MATCH(Summary!AD$1,'RA1- Elevated Dumps Upper'!$A$9:$BN$9,1),FALSE),0)+IFERROR(VLOOKUP($B23,'RA2-Elevated Dumps Slopes'!$A$11:$BN$18,MATCH(Summary!AD$1,'RA2-Elevated Dumps Slopes'!$A$9:$BN$9,1),FALSE),0)+IFERROR(VLOOKUP($B23,'RA3-Backfilled Pits'!$A$11:$BN$18,MATCH(Summary!AD$1,'RA3-Backfilled Pits'!$A$9:$BN$9,1),FALSE),0)+IFERROR(VLOOKUP($B23,'RA4-Tracks_Roads'!$A$11:$BN$18,MATCH(Summary!AD$1,'RA4-Tracks_Roads'!$A$9:$BN$9,1),FALSE),0)+IFERROR(VLOOKUP($B23,'RA5-ROM'!$A$11:$BN$18,MATCH(Summary!AD$1,'RA5-ROM'!$A$9:$BN$9,1),FALSE),0)+IFERROR(VLOOKUP($B23,'RA6-CHPP'!$A$11:$BN$18,MATCH(Summary!AD$1,'RA6-CHPP'!$A$9:$BN$9,1),FALSE),0)+IFERROR(VLOOKUP($B23,'RA7-Mine Infrastructure Area'!$A$11:$BN$18,MATCH(Summary!AD$1,'RA7-Mine Infrastructure Area'!$A$9:$BN$9,1),FALSE),0)+IFERROR(VLOOKUP($B23,'RA8-Water Management Structures'!$A$11:$BN$18,MATCH(Summary!AD$1,'RA8-Water Management Structures'!$A$9:$BN$9,1),FALSE),0)+IFERROR(VLOOKUP($B23,'RA9-Codisposal Upper'!$A$11:$BN$18,MATCH(Summary!AD$1,'RA9-Codisposal Upper'!$A$9:$BN$9,1),FALSE),0)+IFERROR(VLOOKUP($B23,'RA10-Codisposal Slopes'!$A$11:$BN$18,MATCH(Summary!AD$1,'RA10-Codisposal Slopes'!$A$9:$BN$9,1),FALSE),0)+IFERROR(VLOOKUP($B23,'IA1-Final Void inc Ramps'!$A$11:$BN$18,MATCH(Summary!AD$1,'IA1-Final Void inc Ramps'!$A$9:$BN$9,1),FALSE),0)</f>
        <v>0</v>
      </c>
      <c r="AE23" s="51">
        <f>IFERROR(VLOOKUP($B23,'RA1- Elevated Dumps Upper'!$A$11:$BN$18,MATCH(Summary!AE$1,'RA1- Elevated Dumps Upper'!$A$9:$BN$9,1),FALSE),0)+IFERROR(VLOOKUP($B23,'RA2-Elevated Dumps Slopes'!$A$11:$BN$18,MATCH(Summary!AE$1,'RA2-Elevated Dumps Slopes'!$A$9:$BN$9,1),FALSE),0)+IFERROR(VLOOKUP($B23,'RA3-Backfilled Pits'!$A$11:$BN$18,MATCH(Summary!AE$1,'RA3-Backfilled Pits'!$A$9:$BN$9,1),FALSE),0)+IFERROR(VLOOKUP($B23,'RA4-Tracks_Roads'!$A$11:$BN$18,MATCH(Summary!AE$1,'RA4-Tracks_Roads'!$A$9:$BN$9,1),FALSE),0)+IFERROR(VLOOKUP($B23,'RA5-ROM'!$A$11:$BN$18,MATCH(Summary!AE$1,'RA5-ROM'!$A$9:$BN$9,1),FALSE),0)+IFERROR(VLOOKUP($B23,'RA6-CHPP'!$A$11:$BN$18,MATCH(Summary!AE$1,'RA6-CHPP'!$A$9:$BN$9,1),FALSE),0)+IFERROR(VLOOKUP($B23,'RA7-Mine Infrastructure Area'!$A$11:$BN$18,MATCH(Summary!AE$1,'RA7-Mine Infrastructure Area'!$A$9:$BN$9,1),FALSE),0)+IFERROR(VLOOKUP($B23,'RA8-Water Management Structures'!$A$11:$BN$18,MATCH(Summary!AE$1,'RA8-Water Management Structures'!$A$9:$BN$9,1),FALSE),0)+IFERROR(VLOOKUP($B23,'RA9-Codisposal Upper'!$A$11:$BN$18,MATCH(Summary!AE$1,'RA9-Codisposal Upper'!$A$9:$BN$9,1),FALSE),0)+IFERROR(VLOOKUP($B23,'RA10-Codisposal Slopes'!$A$11:$BN$18,MATCH(Summary!AE$1,'RA10-Codisposal Slopes'!$A$9:$BN$9,1),FALSE),0)+IFERROR(VLOOKUP($B23,'IA1-Final Void inc Ramps'!$A$11:$BN$18,MATCH(Summary!AE$1,'IA1-Final Void inc Ramps'!$A$9:$BN$9,1),FALSE),0)</f>
        <v>171.6</v>
      </c>
      <c r="AF23" s="51">
        <f>IFERROR(VLOOKUP($B23,'RA1- Elevated Dumps Upper'!$A$11:$BN$18,MATCH(Summary!AF$1,'RA1- Elevated Dumps Upper'!$A$9:$BN$9,1),FALSE),0)+IFERROR(VLOOKUP($B23,'RA2-Elevated Dumps Slopes'!$A$11:$BN$18,MATCH(Summary!AF$1,'RA2-Elevated Dumps Slopes'!$A$9:$BN$9,1),FALSE),0)+IFERROR(VLOOKUP($B23,'RA3-Backfilled Pits'!$A$11:$BN$18,MATCH(Summary!AF$1,'RA3-Backfilled Pits'!$A$9:$BN$9,1),FALSE),0)+IFERROR(VLOOKUP($B23,'RA4-Tracks_Roads'!$A$11:$BN$18,MATCH(Summary!AF$1,'RA4-Tracks_Roads'!$A$9:$BN$9,1),FALSE),0)+IFERROR(VLOOKUP($B23,'RA5-ROM'!$A$11:$BN$18,MATCH(Summary!AF$1,'RA5-ROM'!$A$9:$BN$9,1),FALSE),0)+IFERROR(VLOOKUP($B23,'RA6-CHPP'!$A$11:$BN$18,MATCH(Summary!AF$1,'RA6-CHPP'!$A$9:$BN$9,1),FALSE),0)+IFERROR(VLOOKUP($B23,'RA7-Mine Infrastructure Area'!$A$11:$BN$18,MATCH(Summary!AF$1,'RA7-Mine Infrastructure Area'!$A$9:$BN$9,1),FALSE),0)+IFERROR(VLOOKUP($B23,'RA8-Water Management Structures'!$A$11:$BN$18,MATCH(Summary!AF$1,'RA8-Water Management Structures'!$A$9:$BN$9,1),FALSE),0)+IFERROR(VLOOKUP($B23,'RA9-Codisposal Upper'!$A$11:$BN$18,MATCH(Summary!AF$1,'RA9-Codisposal Upper'!$A$9:$BN$9,1),FALSE),0)+IFERROR(VLOOKUP($B23,'RA10-Codisposal Slopes'!$A$11:$BN$18,MATCH(Summary!AF$1,'RA10-Codisposal Slopes'!$A$9:$BN$9,1),FALSE),0)+IFERROR(VLOOKUP($B23,'IA1-Final Void inc Ramps'!$A$11:$BN$18,MATCH(Summary!AF$1,'IA1-Final Void inc Ramps'!$A$9:$BN$9,1),FALSE),0)</f>
        <v>171.6</v>
      </c>
      <c r="AG23" s="51">
        <f>IFERROR(VLOOKUP($B23,'RA1- Elevated Dumps Upper'!$A$11:$BN$18,MATCH(Summary!AG$1,'RA1- Elevated Dumps Upper'!$A$9:$BN$9,1),FALSE),0)+IFERROR(VLOOKUP($B23,'RA2-Elevated Dumps Slopes'!$A$11:$BN$18,MATCH(Summary!AG$1,'RA2-Elevated Dumps Slopes'!$A$9:$BN$9,1),FALSE),0)+IFERROR(VLOOKUP($B23,'RA3-Backfilled Pits'!$A$11:$BN$18,MATCH(Summary!AG$1,'RA3-Backfilled Pits'!$A$9:$BN$9,1),FALSE),0)+IFERROR(VLOOKUP($B23,'RA4-Tracks_Roads'!$A$11:$BN$18,MATCH(Summary!AG$1,'RA4-Tracks_Roads'!$A$9:$BN$9,1),FALSE),0)+IFERROR(VLOOKUP($B23,'RA5-ROM'!$A$11:$BN$18,MATCH(Summary!AG$1,'RA5-ROM'!$A$9:$BN$9,1),FALSE),0)+IFERROR(VLOOKUP($B23,'RA6-CHPP'!$A$11:$BN$18,MATCH(Summary!AG$1,'RA6-CHPP'!$A$9:$BN$9,1),FALSE),0)+IFERROR(VLOOKUP($B23,'RA7-Mine Infrastructure Area'!$A$11:$BN$18,MATCH(Summary!AG$1,'RA7-Mine Infrastructure Area'!$A$9:$BN$9,1),FALSE),0)+IFERROR(VLOOKUP($B23,'RA8-Water Management Structures'!$A$11:$BN$18,MATCH(Summary!AG$1,'RA8-Water Management Structures'!$A$9:$BN$9,1),FALSE),0)+IFERROR(VLOOKUP($B23,'RA9-Codisposal Upper'!$A$11:$BN$18,MATCH(Summary!AG$1,'RA9-Codisposal Upper'!$A$9:$BN$9,1),FALSE),0)+IFERROR(VLOOKUP($B23,'RA10-Codisposal Slopes'!$A$11:$BN$18,MATCH(Summary!AG$1,'RA10-Codisposal Slopes'!$A$9:$BN$9,1),FALSE),0)+IFERROR(VLOOKUP($B23,'IA1-Final Void inc Ramps'!$A$11:$BN$18,MATCH(Summary!AG$1,'IA1-Final Void inc Ramps'!$A$9:$BN$9,1),FALSE),0)</f>
        <v>171.6</v>
      </c>
      <c r="AH23" s="51">
        <f>IFERROR(VLOOKUP($B23,'RA1- Elevated Dumps Upper'!$A$11:$BN$18,MATCH(Summary!AH$1,'RA1- Elevated Dumps Upper'!$A$9:$BN$9,1),FALSE),0)+IFERROR(VLOOKUP($B23,'RA2-Elevated Dumps Slopes'!$A$11:$BN$18,MATCH(Summary!AH$1,'RA2-Elevated Dumps Slopes'!$A$9:$BN$9,1),FALSE),0)+IFERROR(VLOOKUP($B23,'RA3-Backfilled Pits'!$A$11:$BN$18,MATCH(Summary!AH$1,'RA3-Backfilled Pits'!$A$9:$BN$9,1),FALSE),0)+IFERROR(VLOOKUP($B23,'RA4-Tracks_Roads'!$A$11:$BN$18,MATCH(Summary!AH$1,'RA4-Tracks_Roads'!$A$9:$BN$9,1),FALSE),0)+IFERROR(VLOOKUP($B23,'RA5-ROM'!$A$11:$BN$18,MATCH(Summary!AH$1,'RA5-ROM'!$A$9:$BN$9,1),FALSE),0)+IFERROR(VLOOKUP($B23,'RA6-CHPP'!$A$11:$BN$18,MATCH(Summary!AH$1,'RA6-CHPP'!$A$9:$BN$9,1),FALSE),0)+IFERROR(VLOOKUP($B23,'RA7-Mine Infrastructure Area'!$A$11:$BN$18,MATCH(Summary!AH$1,'RA7-Mine Infrastructure Area'!$A$9:$BN$9,1),FALSE),0)+IFERROR(VLOOKUP($B23,'RA8-Water Management Structures'!$A$11:$BN$18,MATCH(Summary!AH$1,'RA8-Water Management Structures'!$A$9:$BN$9,1),FALSE),0)+IFERROR(VLOOKUP($B23,'RA9-Codisposal Upper'!$A$11:$BN$18,MATCH(Summary!AH$1,'RA9-Codisposal Upper'!$A$9:$BN$9,1),FALSE),0)+IFERROR(VLOOKUP($B23,'RA10-Codisposal Slopes'!$A$11:$BN$18,MATCH(Summary!AH$1,'RA10-Codisposal Slopes'!$A$9:$BN$9,1),FALSE),0)+IFERROR(VLOOKUP($B23,'IA1-Final Void inc Ramps'!$A$11:$BN$18,MATCH(Summary!AH$1,'IA1-Final Void inc Ramps'!$A$9:$BN$9,1),FALSE),0)</f>
        <v>171.6</v>
      </c>
      <c r="AI23" s="51">
        <f>IFERROR(VLOOKUP($B23,'RA1- Elevated Dumps Upper'!$A$11:$BN$18,MATCH(Summary!AI$1,'RA1- Elevated Dumps Upper'!$A$9:$BN$9,1),FALSE),0)+IFERROR(VLOOKUP($B23,'RA2-Elevated Dumps Slopes'!$A$11:$BN$18,MATCH(Summary!AI$1,'RA2-Elevated Dumps Slopes'!$A$9:$BN$9,1),FALSE),0)+IFERROR(VLOOKUP($B23,'RA3-Backfilled Pits'!$A$11:$BN$18,MATCH(Summary!AI$1,'RA3-Backfilled Pits'!$A$9:$BN$9,1),FALSE),0)+IFERROR(VLOOKUP($B23,'RA4-Tracks_Roads'!$A$11:$BN$18,MATCH(Summary!AI$1,'RA4-Tracks_Roads'!$A$9:$BN$9,1),FALSE),0)+IFERROR(VLOOKUP($B23,'RA5-ROM'!$A$11:$BN$18,MATCH(Summary!AI$1,'RA5-ROM'!$A$9:$BN$9,1),FALSE),0)+IFERROR(VLOOKUP($B23,'RA6-CHPP'!$A$11:$BN$18,MATCH(Summary!AI$1,'RA6-CHPP'!$A$9:$BN$9,1),FALSE),0)+IFERROR(VLOOKUP($B23,'RA7-Mine Infrastructure Area'!$A$11:$BN$18,MATCH(Summary!AI$1,'RA7-Mine Infrastructure Area'!$A$9:$BN$9,1),FALSE),0)+IFERROR(VLOOKUP($B23,'RA8-Water Management Structures'!$A$11:$BN$18,MATCH(Summary!AI$1,'RA8-Water Management Structures'!$A$9:$BN$9,1),FALSE),0)+IFERROR(VLOOKUP($B23,'RA9-Codisposal Upper'!$A$11:$BN$18,MATCH(Summary!AI$1,'RA9-Codisposal Upper'!$A$9:$BN$9,1),FALSE),0)+IFERROR(VLOOKUP($B23,'RA10-Codisposal Slopes'!$A$11:$BN$18,MATCH(Summary!AI$1,'RA10-Codisposal Slopes'!$A$9:$BN$9,1),FALSE),0)+IFERROR(VLOOKUP($B23,'IA1-Final Void inc Ramps'!$A$11:$BN$18,MATCH(Summary!AI$1,'IA1-Final Void inc Ramps'!$A$9:$BN$9,1),FALSE),0)</f>
        <v>171.6</v>
      </c>
      <c r="AJ23" s="51">
        <f>IFERROR(VLOOKUP($B23,'RA1- Elevated Dumps Upper'!$A$11:$BN$18,MATCH(Summary!AJ$1,'RA1- Elevated Dumps Upper'!$A$9:$BN$9,1),FALSE),0)+IFERROR(VLOOKUP($B23,'RA2-Elevated Dumps Slopes'!$A$11:$BN$18,MATCH(Summary!AJ$1,'RA2-Elevated Dumps Slopes'!$A$9:$BN$9,1),FALSE),0)+IFERROR(VLOOKUP($B23,'RA3-Backfilled Pits'!$A$11:$BN$18,MATCH(Summary!AJ$1,'RA3-Backfilled Pits'!$A$9:$BN$9,1),FALSE),0)+IFERROR(VLOOKUP($B23,'RA4-Tracks_Roads'!$A$11:$BN$18,MATCH(Summary!AJ$1,'RA4-Tracks_Roads'!$A$9:$BN$9,1),FALSE),0)+IFERROR(VLOOKUP($B23,'RA5-ROM'!$A$11:$BN$18,MATCH(Summary!AJ$1,'RA5-ROM'!$A$9:$BN$9,1),FALSE),0)+IFERROR(VLOOKUP($B23,'RA6-CHPP'!$A$11:$BN$18,MATCH(Summary!AJ$1,'RA6-CHPP'!$A$9:$BN$9,1),FALSE),0)+IFERROR(VLOOKUP($B23,'RA7-Mine Infrastructure Area'!$A$11:$BN$18,MATCH(Summary!AJ$1,'RA7-Mine Infrastructure Area'!$A$9:$BN$9,1),FALSE),0)+IFERROR(VLOOKUP($B23,'RA8-Water Management Structures'!$A$11:$BN$18,MATCH(Summary!AJ$1,'RA8-Water Management Structures'!$A$9:$BN$9,1),FALSE),0)+IFERROR(VLOOKUP($B23,'RA9-Codisposal Upper'!$A$11:$BN$18,MATCH(Summary!AJ$1,'RA9-Codisposal Upper'!$A$9:$BN$9,1),FALSE),0)+IFERROR(VLOOKUP($B23,'RA10-Codisposal Slopes'!$A$11:$BN$18,MATCH(Summary!AJ$1,'RA10-Codisposal Slopes'!$A$9:$BN$9,1),FALSE),0)+IFERROR(VLOOKUP($B23,'IA1-Final Void inc Ramps'!$A$11:$BN$18,MATCH(Summary!AJ$1,'IA1-Final Void inc Ramps'!$A$9:$BN$9,1),FALSE),0)</f>
        <v>171.6</v>
      </c>
      <c r="AK23" s="51">
        <f>IFERROR(VLOOKUP($B23,'RA1- Elevated Dumps Upper'!$A$11:$BN$18,MATCH(Summary!AK$1,'RA1- Elevated Dumps Upper'!$A$9:$BN$9,1),FALSE),0)+IFERROR(VLOOKUP($B23,'RA2-Elevated Dumps Slopes'!$A$11:$BN$18,MATCH(Summary!AK$1,'RA2-Elevated Dumps Slopes'!$A$9:$BN$9,1),FALSE),0)+IFERROR(VLOOKUP($B23,'RA3-Backfilled Pits'!$A$11:$BN$18,MATCH(Summary!AK$1,'RA3-Backfilled Pits'!$A$9:$BN$9,1),FALSE),0)+IFERROR(VLOOKUP($B23,'RA4-Tracks_Roads'!$A$11:$BN$18,MATCH(Summary!AK$1,'RA4-Tracks_Roads'!$A$9:$BN$9,1),FALSE),0)+IFERROR(VLOOKUP($B23,'RA5-ROM'!$A$11:$BN$18,MATCH(Summary!AK$1,'RA5-ROM'!$A$9:$BN$9,1),FALSE),0)+IFERROR(VLOOKUP($B23,'RA6-CHPP'!$A$11:$BN$18,MATCH(Summary!AK$1,'RA6-CHPP'!$A$9:$BN$9,1),FALSE),0)+IFERROR(VLOOKUP($B23,'RA7-Mine Infrastructure Area'!$A$11:$BN$18,MATCH(Summary!AK$1,'RA7-Mine Infrastructure Area'!$A$9:$BN$9,1),FALSE),0)+IFERROR(VLOOKUP($B23,'RA8-Water Management Structures'!$A$11:$BN$18,MATCH(Summary!AK$1,'RA8-Water Management Structures'!$A$9:$BN$9,1),FALSE),0)+IFERROR(VLOOKUP($B23,'RA9-Codisposal Upper'!$A$11:$BN$18,MATCH(Summary!AK$1,'RA9-Codisposal Upper'!$A$9:$BN$9,1),FALSE),0)+IFERROR(VLOOKUP($B23,'RA10-Codisposal Slopes'!$A$11:$BN$18,MATCH(Summary!AK$1,'RA10-Codisposal Slopes'!$A$9:$BN$9,1),FALSE),0)+IFERROR(VLOOKUP($B23,'IA1-Final Void inc Ramps'!$A$11:$BN$18,MATCH(Summary!AK$1,'IA1-Final Void inc Ramps'!$A$9:$BN$9,1),FALSE),0)</f>
        <v>171.6</v>
      </c>
      <c r="AL23" s="51">
        <f>IFERROR(VLOOKUP($B23,'RA1- Elevated Dumps Upper'!$A$11:$BN$18,MATCH(Summary!AL$1,'RA1- Elevated Dumps Upper'!$A$9:$BN$9,1),FALSE),0)+IFERROR(VLOOKUP($B23,'RA2-Elevated Dumps Slopes'!$A$11:$BN$18,MATCH(Summary!AL$1,'RA2-Elevated Dumps Slopes'!$A$9:$BN$9,1),FALSE),0)+IFERROR(VLOOKUP($B23,'RA3-Backfilled Pits'!$A$11:$BN$18,MATCH(Summary!AL$1,'RA3-Backfilled Pits'!$A$9:$BN$9,1),FALSE),0)+IFERROR(VLOOKUP($B23,'RA4-Tracks_Roads'!$A$11:$BN$18,MATCH(Summary!AL$1,'RA4-Tracks_Roads'!$A$9:$BN$9,1),FALSE),0)+IFERROR(VLOOKUP($B23,'RA5-ROM'!$A$11:$BN$18,MATCH(Summary!AL$1,'RA5-ROM'!$A$9:$BN$9,1),FALSE),0)+IFERROR(VLOOKUP($B23,'RA6-CHPP'!$A$11:$BN$18,MATCH(Summary!AL$1,'RA6-CHPP'!$A$9:$BN$9,1),FALSE),0)+IFERROR(VLOOKUP($B23,'RA7-Mine Infrastructure Area'!$A$11:$BN$18,MATCH(Summary!AL$1,'RA7-Mine Infrastructure Area'!$A$9:$BN$9,1),FALSE),0)+IFERROR(VLOOKUP($B23,'RA8-Water Management Structures'!$A$11:$BN$18,MATCH(Summary!AL$1,'RA8-Water Management Structures'!$A$9:$BN$9,1),FALSE),0)+IFERROR(VLOOKUP($B23,'RA9-Codisposal Upper'!$A$11:$BN$18,MATCH(Summary!AL$1,'RA9-Codisposal Upper'!$A$9:$BN$9,1),FALSE),0)+IFERROR(VLOOKUP($B23,'RA10-Codisposal Slopes'!$A$11:$BN$18,MATCH(Summary!AL$1,'RA10-Codisposal Slopes'!$A$9:$BN$9,1),FALSE),0)+IFERROR(VLOOKUP($B23,'IA1-Final Void inc Ramps'!$A$11:$BN$18,MATCH(Summary!AL$1,'IA1-Final Void inc Ramps'!$A$9:$BN$9,1),FALSE),0)</f>
        <v>171.6</v>
      </c>
      <c r="AM23" s="51">
        <f>IFERROR(VLOOKUP($B23,'RA1- Elevated Dumps Upper'!$A$11:$BN$18,MATCH(Summary!AM$1,'RA1- Elevated Dumps Upper'!$A$9:$BN$9,1),FALSE),0)+IFERROR(VLOOKUP($B23,'RA2-Elevated Dumps Slopes'!$A$11:$BN$18,MATCH(Summary!AM$1,'RA2-Elevated Dumps Slopes'!$A$9:$BN$9,1),FALSE),0)+IFERROR(VLOOKUP($B23,'RA3-Backfilled Pits'!$A$11:$BN$18,MATCH(Summary!AM$1,'RA3-Backfilled Pits'!$A$9:$BN$9,1),FALSE),0)+IFERROR(VLOOKUP($B23,'RA4-Tracks_Roads'!$A$11:$BN$18,MATCH(Summary!AM$1,'RA4-Tracks_Roads'!$A$9:$BN$9,1),FALSE),0)+IFERROR(VLOOKUP($B23,'RA5-ROM'!$A$11:$BN$18,MATCH(Summary!AM$1,'RA5-ROM'!$A$9:$BN$9,1),FALSE),0)+IFERROR(VLOOKUP($B23,'RA6-CHPP'!$A$11:$BN$18,MATCH(Summary!AM$1,'RA6-CHPP'!$A$9:$BN$9,1),FALSE),0)+IFERROR(VLOOKUP($B23,'RA7-Mine Infrastructure Area'!$A$11:$BN$18,MATCH(Summary!AM$1,'RA7-Mine Infrastructure Area'!$A$9:$BN$9,1),FALSE),0)+IFERROR(VLOOKUP($B23,'RA8-Water Management Structures'!$A$11:$BN$18,MATCH(Summary!AM$1,'RA8-Water Management Structures'!$A$9:$BN$9,1),FALSE),0)+IFERROR(VLOOKUP($B23,'RA9-Codisposal Upper'!$A$11:$BN$18,MATCH(Summary!AM$1,'RA9-Codisposal Upper'!$A$9:$BN$9,1),FALSE),0)+IFERROR(VLOOKUP($B23,'RA10-Codisposal Slopes'!$A$11:$BN$18,MATCH(Summary!AM$1,'RA10-Codisposal Slopes'!$A$9:$BN$9,1),FALSE),0)+IFERROR(VLOOKUP($B23,'IA1-Final Void inc Ramps'!$A$11:$BN$18,MATCH(Summary!AM$1,'IA1-Final Void inc Ramps'!$A$9:$BN$9,1),FALSE),0)</f>
        <v>171.6</v>
      </c>
      <c r="AN23" s="51">
        <f>IFERROR(VLOOKUP($B23,'RA1- Elevated Dumps Upper'!$A$11:$BN$18,MATCH(Summary!AN$1,'RA1- Elevated Dumps Upper'!$A$9:$BN$9,1),FALSE),0)+IFERROR(VLOOKUP($B23,'RA2-Elevated Dumps Slopes'!$A$11:$BN$18,MATCH(Summary!AN$1,'RA2-Elevated Dumps Slopes'!$A$9:$BN$9,1),FALSE),0)+IFERROR(VLOOKUP($B23,'RA3-Backfilled Pits'!$A$11:$BN$18,MATCH(Summary!AN$1,'RA3-Backfilled Pits'!$A$9:$BN$9,1),FALSE),0)+IFERROR(VLOOKUP($B23,'RA4-Tracks_Roads'!$A$11:$BN$18,MATCH(Summary!AN$1,'RA4-Tracks_Roads'!$A$9:$BN$9,1),FALSE),0)+IFERROR(VLOOKUP($B23,'RA5-ROM'!$A$11:$BN$18,MATCH(Summary!AN$1,'RA5-ROM'!$A$9:$BN$9,1),FALSE),0)+IFERROR(VLOOKUP($B23,'RA6-CHPP'!$A$11:$BN$18,MATCH(Summary!AN$1,'RA6-CHPP'!$A$9:$BN$9,1),FALSE),0)+IFERROR(VLOOKUP($B23,'RA7-Mine Infrastructure Area'!$A$11:$BN$18,MATCH(Summary!AN$1,'RA7-Mine Infrastructure Area'!$A$9:$BN$9,1),FALSE),0)+IFERROR(VLOOKUP($B23,'RA8-Water Management Structures'!$A$11:$BN$18,MATCH(Summary!AN$1,'RA8-Water Management Structures'!$A$9:$BN$9,1),FALSE),0)+IFERROR(VLOOKUP($B23,'RA9-Codisposal Upper'!$A$11:$BN$18,MATCH(Summary!AN$1,'RA9-Codisposal Upper'!$A$9:$BN$9,1),FALSE),0)+IFERROR(VLOOKUP($B23,'RA10-Codisposal Slopes'!$A$11:$BN$18,MATCH(Summary!AN$1,'RA10-Codisposal Slopes'!$A$9:$BN$9,1),FALSE),0)+IFERROR(VLOOKUP($B23,'IA1-Final Void inc Ramps'!$A$11:$BN$18,MATCH(Summary!AN$1,'IA1-Final Void inc Ramps'!$A$9:$BN$9,1),FALSE),0)</f>
        <v>171.6</v>
      </c>
      <c r="AO23" s="51">
        <f>IFERROR(VLOOKUP($B23,'RA1- Elevated Dumps Upper'!$A$11:$BN$18,MATCH(Summary!AO$1,'RA1- Elevated Dumps Upper'!$A$9:$BN$9,1),FALSE),0)+IFERROR(VLOOKUP($B23,'RA2-Elevated Dumps Slopes'!$A$11:$BN$18,MATCH(Summary!AO$1,'RA2-Elevated Dumps Slopes'!$A$9:$BN$9,1),FALSE),0)+IFERROR(VLOOKUP($B23,'RA3-Backfilled Pits'!$A$11:$BN$18,MATCH(Summary!AO$1,'RA3-Backfilled Pits'!$A$9:$BN$9,1),FALSE),0)+IFERROR(VLOOKUP($B23,'RA4-Tracks_Roads'!$A$11:$BN$18,MATCH(Summary!AO$1,'RA4-Tracks_Roads'!$A$9:$BN$9,1),FALSE),0)+IFERROR(VLOOKUP($B23,'RA5-ROM'!$A$11:$BN$18,MATCH(Summary!AO$1,'RA5-ROM'!$A$9:$BN$9,1),FALSE),0)+IFERROR(VLOOKUP($B23,'RA6-CHPP'!$A$11:$BN$18,MATCH(Summary!AO$1,'RA6-CHPP'!$A$9:$BN$9,1),FALSE),0)+IFERROR(VLOOKUP($B23,'RA7-Mine Infrastructure Area'!$A$11:$BN$18,MATCH(Summary!AO$1,'RA7-Mine Infrastructure Area'!$A$9:$BN$9,1),FALSE),0)+IFERROR(VLOOKUP($B23,'RA8-Water Management Structures'!$A$11:$BN$18,MATCH(Summary!AO$1,'RA8-Water Management Structures'!$A$9:$BN$9,1),FALSE),0)+IFERROR(VLOOKUP($B23,'RA9-Codisposal Upper'!$A$11:$BN$18,MATCH(Summary!AO$1,'RA9-Codisposal Upper'!$A$9:$BN$9,1),FALSE),0)+IFERROR(VLOOKUP($B23,'RA10-Codisposal Slopes'!$A$11:$BN$18,MATCH(Summary!AO$1,'RA10-Codisposal Slopes'!$A$9:$BN$9,1),FALSE),0)+IFERROR(VLOOKUP($B23,'IA1-Final Void inc Ramps'!$A$11:$BN$18,MATCH(Summary!AO$1,'IA1-Final Void inc Ramps'!$A$9:$BN$9,1),FALSE),0)</f>
        <v>171.6</v>
      </c>
      <c r="AP23" s="51">
        <f>IFERROR(VLOOKUP($B23,'RA1- Elevated Dumps Upper'!$A$11:$BN$18,MATCH(Summary!AP$1,'RA1- Elevated Dumps Upper'!$A$9:$BN$9,1),FALSE),0)+IFERROR(VLOOKUP($B23,'RA2-Elevated Dumps Slopes'!$A$11:$BN$18,MATCH(Summary!AP$1,'RA2-Elevated Dumps Slopes'!$A$9:$BN$9,1),FALSE),0)+IFERROR(VLOOKUP($B23,'RA3-Backfilled Pits'!$A$11:$BN$18,MATCH(Summary!AP$1,'RA3-Backfilled Pits'!$A$9:$BN$9,1),FALSE),0)+IFERROR(VLOOKUP($B23,'RA4-Tracks_Roads'!$A$11:$BN$18,MATCH(Summary!AP$1,'RA4-Tracks_Roads'!$A$9:$BN$9,1),FALSE),0)+IFERROR(VLOOKUP($B23,'RA5-ROM'!$A$11:$BN$18,MATCH(Summary!AP$1,'RA5-ROM'!$A$9:$BN$9,1),FALSE),0)+IFERROR(VLOOKUP($B23,'RA6-CHPP'!$A$11:$BN$18,MATCH(Summary!AP$1,'RA6-CHPP'!$A$9:$BN$9,1),FALSE),0)+IFERROR(VLOOKUP($B23,'RA7-Mine Infrastructure Area'!$A$11:$BN$18,MATCH(Summary!AP$1,'RA7-Mine Infrastructure Area'!$A$9:$BN$9,1),FALSE),0)+IFERROR(VLOOKUP($B23,'RA8-Water Management Structures'!$A$11:$BN$18,MATCH(Summary!AP$1,'RA8-Water Management Structures'!$A$9:$BN$9,1),FALSE),0)+IFERROR(VLOOKUP($B23,'RA9-Codisposal Upper'!$A$11:$BN$18,MATCH(Summary!AP$1,'RA9-Codisposal Upper'!$A$9:$BN$9,1),FALSE),0)+IFERROR(VLOOKUP($B23,'RA10-Codisposal Slopes'!$A$11:$BN$18,MATCH(Summary!AP$1,'RA10-Codisposal Slopes'!$A$9:$BN$9,1),FALSE),0)+IFERROR(VLOOKUP($B23,'IA1-Final Void inc Ramps'!$A$11:$BN$18,MATCH(Summary!AP$1,'IA1-Final Void inc Ramps'!$A$9:$BN$9,1),FALSE),0)</f>
        <v>171.6</v>
      </c>
      <c r="AQ23" s="51">
        <f>IFERROR(VLOOKUP($B23,'RA1- Elevated Dumps Upper'!$A$11:$BN$18,MATCH(Summary!AQ$1,'RA1- Elevated Dumps Upper'!$A$9:$BN$9,1),FALSE),0)+IFERROR(VLOOKUP($B23,'RA2-Elevated Dumps Slopes'!$A$11:$BN$18,MATCH(Summary!AQ$1,'RA2-Elevated Dumps Slopes'!$A$9:$BN$9,1),FALSE),0)+IFERROR(VLOOKUP($B23,'RA3-Backfilled Pits'!$A$11:$BN$18,MATCH(Summary!AQ$1,'RA3-Backfilled Pits'!$A$9:$BN$9,1),FALSE),0)+IFERROR(VLOOKUP($B23,'RA4-Tracks_Roads'!$A$11:$BN$18,MATCH(Summary!AQ$1,'RA4-Tracks_Roads'!$A$9:$BN$9,1),FALSE),0)+IFERROR(VLOOKUP($B23,'RA5-ROM'!$A$11:$BN$18,MATCH(Summary!AQ$1,'RA5-ROM'!$A$9:$BN$9,1),FALSE),0)+IFERROR(VLOOKUP($B23,'RA6-CHPP'!$A$11:$BN$18,MATCH(Summary!AQ$1,'RA6-CHPP'!$A$9:$BN$9,1),FALSE),0)+IFERROR(VLOOKUP($B23,'RA7-Mine Infrastructure Area'!$A$11:$BN$18,MATCH(Summary!AQ$1,'RA7-Mine Infrastructure Area'!$A$9:$BN$9,1),FALSE),0)+IFERROR(VLOOKUP($B23,'RA8-Water Management Structures'!$A$11:$BN$18,MATCH(Summary!AQ$1,'RA8-Water Management Structures'!$A$9:$BN$9,1),FALSE),0)+IFERROR(VLOOKUP($B23,'RA9-Codisposal Upper'!$A$11:$BN$18,MATCH(Summary!AQ$1,'RA9-Codisposal Upper'!$A$9:$BN$9,1),FALSE),0)+IFERROR(VLOOKUP($B23,'RA10-Codisposal Slopes'!$A$11:$BN$18,MATCH(Summary!AQ$1,'RA10-Codisposal Slopes'!$A$9:$BN$9,1),FALSE),0)+IFERROR(VLOOKUP($B23,'IA1-Final Void inc Ramps'!$A$11:$BN$18,MATCH(Summary!AQ$1,'IA1-Final Void inc Ramps'!$A$9:$BN$9,1),FALSE),0)</f>
        <v>171.6</v>
      </c>
      <c r="AR23" s="51">
        <f>IFERROR(VLOOKUP($B23,'RA1- Elevated Dumps Upper'!$A$11:$BN$18,MATCH(Summary!AR$1,'RA1- Elevated Dumps Upper'!$A$9:$BN$9,1),FALSE),0)+IFERROR(VLOOKUP($B23,'RA2-Elevated Dumps Slopes'!$A$11:$BN$18,MATCH(Summary!AR$1,'RA2-Elevated Dumps Slopes'!$A$9:$BN$9,1),FALSE),0)+IFERROR(VLOOKUP($B23,'RA3-Backfilled Pits'!$A$11:$BN$18,MATCH(Summary!AR$1,'RA3-Backfilled Pits'!$A$9:$BN$9,1),FALSE),0)+IFERROR(VLOOKUP($B23,'RA4-Tracks_Roads'!$A$11:$BN$18,MATCH(Summary!AR$1,'RA4-Tracks_Roads'!$A$9:$BN$9,1),FALSE),0)+IFERROR(VLOOKUP($B23,'RA5-ROM'!$A$11:$BN$18,MATCH(Summary!AR$1,'RA5-ROM'!$A$9:$BN$9,1),FALSE),0)+IFERROR(VLOOKUP($B23,'RA6-CHPP'!$A$11:$BN$18,MATCH(Summary!AR$1,'RA6-CHPP'!$A$9:$BN$9,1),FALSE),0)+IFERROR(VLOOKUP($B23,'RA7-Mine Infrastructure Area'!$A$11:$BN$18,MATCH(Summary!AR$1,'RA7-Mine Infrastructure Area'!$A$9:$BN$9,1),FALSE),0)+IFERROR(VLOOKUP($B23,'RA8-Water Management Structures'!$A$11:$BN$18,MATCH(Summary!AR$1,'RA8-Water Management Structures'!$A$9:$BN$9,1),FALSE),0)+IFERROR(VLOOKUP($B23,'RA9-Codisposal Upper'!$A$11:$BN$18,MATCH(Summary!AR$1,'RA9-Codisposal Upper'!$A$9:$BN$9,1),FALSE),0)+IFERROR(VLOOKUP($B23,'RA10-Codisposal Slopes'!$A$11:$BN$18,MATCH(Summary!AR$1,'RA10-Codisposal Slopes'!$A$9:$BN$9,1),FALSE),0)+IFERROR(VLOOKUP($B23,'IA1-Final Void inc Ramps'!$A$11:$BN$18,MATCH(Summary!AR$1,'IA1-Final Void inc Ramps'!$A$9:$BN$9,1),FALSE),0)</f>
        <v>171.6</v>
      </c>
      <c r="AS23" s="51">
        <f>IFERROR(VLOOKUP($B23,'RA1- Elevated Dumps Upper'!$A$11:$BN$18,MATCH(Summary!AS$1,'RA1- Elevated Dumps Upper'!$A$9:$BN$9,1),FALSE),0)+IFERROR(VLOOKUP($B23,'RA2-Elevated Dumps Slopes'!$A$11:$BN$18,MATCH(Summary!AS$1,'RA2-Elevated Dumps Slopes'!$A$9:$BN$9,1),FALSE),0)+IFERROR(VLOOKUP($B23,'RA3-Backfilled Pits'!$A$11:$BN$18,MATCH(Summary!AS$1,'RA3-Backfilled Pits'!$A$9:$BN$9,1),FALSE),0)+IFERROR(VLOOKUP($B23,'RA4-Tracks_Roads'!$A$11:$BN$18,MATCH(Summary!AS$1,'RA4-Tracks_Roads'!$A$9:$BN$9,1),FALSE),0)+IFERROR(VLOOKUP($B23,'RA5-ROM'!$A$11:$BN$18,MATCH(Summary!AS$1,'RA5-ROM'!$A$9:$BN$9,1),FALSE),0)+IFERROR(VLOOKUP($B23,'RA6-CHPP'!$A$11:$BN$18,MATCH(Summary!AS$1,'RA6-CHPP'!$A$9:$BN$9,1),FALSE),0)+IFERROR(VLOOKUP($B23,'RA7-Mine Infrastructure Area'!$A$11:$BN$18,MATCH(Summary!AS$1,'RA7-Mine Infrastructure Area'!$A$9:$BN$9,1),FALSE),0)+IFERROR(VLOOKUP($B23,'RA8-Water Management Structures'!$A$11:$BN$18,MATCH(Summary!AS$1,'RA8-Water Management Structures'!$A$9:$BN$9,1),FALSE),0)+IFERROR(VLOOKUP($B23,'RA9-Codisposal Upper'!$A$11:$BN$18,MATCH(Summary!AS$1,'RA9-Codisposal Upper'!$A$9:$BN$9,1),FALSE),0)+IFERROR(VLOOKUP($B23,'RA10-Codisposal Slopes'!$A$11:$BN$18,MATCH(Summary!AS$1,'RA10-Codisposal Slopes'!$A$9:$BN$9,1),FALSE),0)+IFERROR(VLOOKUP($B23,'IA1-Final Void inc Ramps'!$A$11:$BN$18,MATCH(Summary!AS$1,'IA1-Final Void inc Ramps'!$A$9:$BN$9,1),FALSE),0)</f>
        <v>171.6</v>
      </c>
      <c r="AT23" s="51">
        <f>IFERROR(VLOOKUP($B23,'RA1- Elevated Dumps Upper'!$A$11:$BN$18,MATCH(Summary!AT$1,'RA1- Elevated Dumps Upper'!$A$9:$BN$9,1),FALSE),0)+IFERROR(VLOOKUP($B23,'RA2-Elevated Dumps Slopes'!$A$11:$BN$18,MATCH(Summary!AT$1,'RA2-Elevated Dumps Slopes'!$A$9:$BN$9,1),FALSE),0)+IFERROR(VLOOKUP($B23,'RA3-Backfilled Pits'!$A$11:$BN$18,MATCH(Summary!AT$1,'RA3-Backfilled Pits'!$A$9:$BN$9,1),FALSE),0)+IFERROR(VLOOKUP($B23,'RA4-Tracks_Roads'!$A$11:$BN$18,MATCH(Summary!AT$1,'RA4-Tracks_Roads'!$A$9:$BN$9,1),FALSE),0)+IFERROR(VLOOKUP($B23,'RA5-ROM'!$A$11:$BN$18,MATCH(Summary!AT$1,'RA5-ROM'!$A$9:$BN$9,1),FALSE),0)+IFERROR(VLOOKUP($B23,'RA6-CHPP'!$A$11:$BN$18,MATCH(Summary!AT$1,'RA6-CHPP'!$A$9:$BN$9,1),FALSE),0)+IFERROR(VLOOKUP($B23,'RA7-Mine Infrastructure Area'!$A$11:$BN$18,MATCH(Summary!AT$1,'RA7-Mine Infrastructure Area'!$A$9:$BN$9,1),FALSE),0)+IFERROR(VLOOKUP($B23,'RA8-Water Management Structures'!$A$11:$BN$18,MATCH(Summary!AT$1,'RA8-Water Management Structures'!$A$9:$BN$9,1),FALSE),0)+IFERROR(VLOOKUP($B23,'RA9-Codisposal Upper'!$A$11:$BN$18,MATCH(Summary!AT$1,'RA9-Codisposal Upper'!$A$9:$BN$9,1),FALSE),0)+IFERROR(VLOOKUP($B23,'RA10-Codisposal Slopes'!$A$11:$BN$18,MATCH(Summary!AT$1,'RA10-Codisposal Slopes'!$A$9:$BN$9,1),FALSE),0)+IFERROR(VLOOKUP($B23,'IA1-Final Void inc Ramps'!$A$11:$BN$18,MATCH(Summary!AT$1,'IA1-Final Void inc Ramps'!$A$9:$BN$9,1),FALSE),0)</f>
        <v>171.6</v>
      </c>
      <c r="AU23" s="51">
        <f>IFERROR(VLOOKUP($B23,'RA1- Elevated Dumps Upper'!$A$11:$BN$18,MATCH(Summary!AU$1,'RA1- Elevated Dumps Upper'!$A$9:$BN$9,1),FALSE),0)+IFERROR(VLOOKUP($B23,'RA2-Elevated Dumps Slopes'!$A$11:$BN$18,MATCH(Summary!AU$1,'RA2-Elevated Dumps Slopes'!$A$9:$BN$9,1),FALSE),0)+IFERROR(VLOOKUP($B23,'RA3-Backfilled Pits'!$A$11:$BN$18,MATCH(Summary!AU$1,'RA3-Backfilled Pits'!$A$9:$BN$9,1),FALSE),0)+IFERROR(VLOOKUP($B23,'RA4-Tracks_Roads'!$A$11:$BN$18,MATCH(Summary!AU$1,'RA4-Tracks_Roads'!$A$9:$BN$9,1),FALSE),0)+IFERROR(VLOOKUP($B23,'RA5-ROM'!$A$11:$BN$18,MATCH(Summary!AU$1,'RA5-ROM'!$A$9:$BN$9,1),FALSE),0)+IFERROR(VLOOKUP($B23,'RA6-CHPP'!$A$11:$BN$18,MATCH(Summary!AU$1,'RA6-CHPP'!$A$9:$BN$9,1),FALSE),0)+IFERROR(VLOOKUP($B23,'RA7-Mine Infrastructure Area'!$A$11:$BN$18,MATCH(Summary!AU$1,'RA7-Mine Infrastructure Area'!$A$9:$BN$9,1),FALSE),0)+IFERROR(VLOOKUP($B23,'RA8-Water Management Structures'!$A$11:$BN$18,MATCH(Summary!AU$1,'RA8-Water Management Structures'!$A$9:$BN$9,1),FALSE),0)+IFERROR(VLOOKUP($B23,'RA9-Codisposal Upper'!$A$11:$BN$18,MATCH(Summary!AU$1,'RA9-Codisposal Upper'!$A$9:$BN$9,1),FALSE),0)+IFERROR(VLOOKUP($B23,'RA10-Codisposal Slopes'!$A$11:$BN$18,MATCH(Summary!AU$1,'RA10-Codisposal Slopes'!$A$9:$BN$9,1),FALSE),0)+IFERROR(VLOOKUP($B23,'IA1-Final Void inc Ramps'!$A$11:$BN$18,MATCH(Summary!AU$1,'IA1-Final Void inc Ramps'!$A$9:$BN$9,1),FALSE),0)</f>
        <v>171.6</v>
      </c>
      <c r="AV23" s="51">
        <f>IFERROR(VLOOKUP($B23,'RA1- Elevated Dumps Upper'!$A$11:$BN$18,MATCH(Summary!AV$1,'RA1- Elevated Dumps Upper'!$A$9:$BN$9,1),FALSE),0)+IFERROR(VLOOKUP($B23,'RA2-Elevated Dumps Slopes'!$A$11:$BN$18,MATCH(Summary!AV$1,'RA2-Elevated Dumps Slopes'!$A$9:$BN$9,1),FALSE),0)+IFERROR(VLOOKUP($B23,'RA3-Backfilled Pits'!$A$11:$BN$18,MATCH(Summary!AV$1,'RA3-Backfilled Pits'!$A$9:$BN$9,1),FALSE),0)+IFERROR(VLOOKUP($B23,'RA4-Tracks_Roads'!$A$11:$BN$18,MATCH(Summary!AV$1,'RA4-Tracks_Roads'!$A$9:$BN$9,1),FALSE),0)+IFERROR(VLOOKUP($B23,'RA5-ROM'!$A$11:$BN$18,MATCH(Summary!AV$1,'RA5-ROM'!$A$9:$BN$9,1),FALSE),0)+IFERROR(VLOOKUP($B23,'RA6-CHPP'!$A$11:$BN$18,MATCH(Summary!AV$1,'RA6-CHPP'!$A$9:$BN$9,1),FALSE),0)+IFERROR(VLOOKUP($B23,'RA7-Mine Infrastructure Area'!$A$11:$BN$18,MATCH(Summary!AV$1,'RA7-Mine Infrastructure Area'!$A$9:$BN$9,1),FALSE),0)+IFERROR(VLOOKUP($B23,'RA8-Water Management Structures'!$A$11:$BN$18,MATCH(Summary!AV$1,'RA8-Water Management Structures'!$A$9:$BN$9,1),FALSE),0)+IFERROR(VLOOKUP($B23,'RA9-Codisposal Upper'!$A$11:$BN$18,MATCH(Summary!AV$1,'RA9-Codisposal Upper'!$A$9:$BN$9,1),FALSE),0)+IFERROR(VLOOKUP($B23,'RA10-Codisposal Slopes'!$A$11:$BN$18,MATCH(Summary!AV$1,'RA10-Codisposal Slopes'!$A$9:$BN$9,1),FALSE),0)+IFERROR(VLOOKUP($B23,'IA1-Final Void inc Ramps'!$A$11:$BN$18,MATCH(Summary!AV$1,'IA1-Final Void inc Ramps'!$A$9:$BN$9,1),FALSE),0)</f>
        <v>171.6</v>
      </c>
      <c r="AW23" s="51">
        <f>IFERROR(VLOOKUP($B23,'RA1- Elevated Dumps Upper'!$A$11:$BN$18,MATCH(Summary!AW$1,'RA1- Elevated Dumps Upper'!$A$9:$BN$9,1),FALSE),0)+IFERROR(VLOOKUP($B23,'RA2-Elevated Dumps Slopes'!$A$11:$BN$18,MATCH(Summary!AW$1,'RA2-Elevated Dumps Slopes'!$A$9:$BN$9,1),FALSE),0)+IFERROR(VLOOKUP($B23,'RA3-Backfilled Pits'!$A$11:$BN$18,MATCH(Summary!AW$1,'RA3-Backfilled Pits'!$A$9:$BN$9,1),FALSE),0)+IFERROR(VLOOKUP($B23,'RA4-Tracks_Roads'!$A$11:$BN$18,MATCH(Summary!AW$1,'RA4-Tracks_Roads'!$A$9:$BN$9,1),FALSE),0)+IFERROR(VLOOKUP($B23,'RA5-ROM'!$A$11:$BN$18,MATCH(Summary!AW$1,'RA5-ROM'!$A$9:$BN$9,1),FALSE),0)+IFERROR(VLOOKUP($B23,'RA6-CHPP'!$A$11:$BN$18,MATCH(Summary!AW$1,'RA6-CHPP'!$A$9:$BN$9,1),FALSE),0)+IFERROR(VLOOKUP($B23,'RA7-Mine Infrastructure Area'!$A$11:$BN$18,MATCH(Summary!AW$1,'RA7-Mine Infrastructure Area'!$A$9:$BN$9,1),FALSE),0)+IFERROR(VLOOKUP($B23,'RA8-Water Management Structures'!$A$11:$BN$18,MATCH(Summary!AW$1,'RA8-Water Management Structures'!$A$9:$BN$9,1),FALSE),0)+IFERROR(VLOOKUP($B23,'RA9-Codisposal Upper'!$A$11:$BN$18,MATCH(Summary!AW$1,'RA9-Codisposal Upper'!$A$9:$BN$9,1),FALSE),0)+IFERROR(VLOOKUP($B23,'RA10-Codisposal Slopes'!$A$11:$BN$18,MATCH(Summary!AW$1,'RA10-Codisposal Slopes'!$A$9:$BN$9,1),FALSE),0)+IFERROR(VLOOKUP($B23,'IA1-Final Void inc Ramps'!$A$11:$BN$18,MATCH(Summary!AW$1,'IA1-Final Void inc Ramps'!$A$9:$BN$9,1),FALSE),0)</f>
        <v>171.6</v>
      </c>
      <c r="AX23" s="51">
        <f>IFERROR(VLOOKUP($B23,'RA1- Elevated Dumps Upper'!$A$11:$BN$18,MATCH(Summary!AX$1,'RA1- Elevated Dumps Upper'!$A$9:$BN$9,1),FALSE),0)+IFERROR(VLOOKUP($B23,'RA2-Elevated Dumps Slopes'!$A$11:$BN$18,MATCH(Summary!AX$1,'RA2-Elevated Dumps Slopes'!$A$9:$BN$9,1),FALSE),0)+IFERROR(VLOOKUP($B23,'RA3-Backfilled Pits'!$A$11:$BN$18,MATCH(Summary!AX$1,'RA3-Backfilled Pits'!$A$9:$BN$9,1),FALSE),0)+IFERROR(VLOOKUP($B23,'RA4-Tracks_Roads'!$A$11:$BN$18,MATCH(Summary!AX$1,'RA4-Tracks_Roads'!$A$9:$BN$9,1),FALSE),0)+IFERROR(VLOOKUP($B23,'RA5-ROM'!$A$11:$BN$18,MATCH(Summary!AX$1,'RA5-ROM'!$A$9:$BN$9,1),FALSE),0)+IFERROR(VLOOKUP($B23,'RA6-CHPP'!$A$11:$BN$18,MATCH(Summary!AX$1,'RA6-CHPP'!$A$9:$BN$9,1),FALSE),0)+IFERROR(VLOOKUP($B23,'RA7-Mine Infrastructure Area'!$A$11:$BN$18,MATCH(Summary!AX$1,'RA7-Mine Infrastructure Area'!$A$9:$BN$9,1),FALSE),0)+IFERROR(VLOOKUP($B23,'RA8-Water Management Structures'!$A$11:$BN$18,MATCH(Summary!AX$1,'RA8-Water Management Structures'!$A$9:$BN$9,1),FALSE),0)+IFERROR(VLOOKUP($B23,'RA9-Codisposal Upper'!$A$11:$BN$18,MATCH(Summary!AX$1,'RA9-Codisposal Upper'!$A$9:$BN$9,1),FALSE),0)+IFERROR(VLOOKUP($B23,'RA10-Codisposal Slopes'!$A$11:$BN$18,MATCH(Summary!AX$1,'RA10-Codisposal Slopes'!$A$9:$BN$9,1),FALSE),0)+IFERROR(VLOOKUP($B23,'IA1-Final Void inc Ramps'!$A$11:$BN$18,MATCH(Summary!AX$1,'IA1-Final Void inc Ramps'!$A$9:$BN$9,1),FALSE),0)</f>
        <v>171.6</v>
      </c>
      <c r="AY23" s="51">
        <f>IFERROR(VLOOKUP($B23,'RA1- Elevated Dumps Upper'!$A$11:$BN$18,MATCH(Summary!AY$1,'RA1- Elevated Dumps Upper'!$A$9:$BN$9,1),FALSE),0)+IFERROR(VLOOKUP($B23,'RA2-Elevated Dumps Slopes'!$A$11:$BN$18,MATCH(Summary!AY$1,'RA2-Elevated Dumps Slopes'!$A$9:$BN$9,1),FALSE),0)+IFERROR(VLOOKUP($B23,'RA3-Backfilled Pits'!$A$11:$BN$18,MATCH(Summary!AY$1,'RA3-Backfilled Pits'!$A$9:$BN$9,1),FALSE),0)+IFERROR(VLOOKUP($B23,'RA4-Tracks_Roads'!$A$11:$BN$18,MATCH(Summary!AY$1,'RA4-Tracks_Roads'!$A$9:$BN$9,1),FALSE),0)+IFERROR(VLOOKUP($B23,'RA5-ROM'!$A$11:$BN$18,MATCH(Summary!AY$1,'RA5-ROM'!$A$9:$BN$9,1),FALSE),0)+IFERROR(VLOOKUP($B23,'RA6-CHPP'!$A$11:$BN$18,MATCH(Summary!AY$1,'RA6-CHPP'!$A$9:$BN$9,1),FALSE),0)+IFERROR(VLOOKUP($B23,'RA7-Mine Infrastructure Area'!$A$11:$BN$18,MATCH(Summary!AY$1,'RA7-Mine Infrastructure Area'!$A$9:$BN$9,1),FALSE),0)+IFERROR(VLOOKUP($B23,'RA8-Water Management Structures'!$A$11:$BN$18,MATCH(Summary!AY$1,'RA8-Water Management Structures'!$A$9:$BN$9,1),FALSE),0)+IFERROR(VLOOKUP($B23,'RA9-Codisposal Upper'!$A$11:$BN$18,MATCH(Summary!AY$1,'RA9-Codisposal Upper'!$A$9:$BN$9,1),FALSE),0)+IFERROR(VLOOKUP($B23,'RA10-Codisposal Slopes'!$A$11:$BN$18,MATCH(Summary!AY$1,'RA10-Codisposal Slopes'!$A$9:$BN$9,1),FALSE),0)+IFERROR(VLOOKUP($B23,'IA1-Final Void inc Ramps'!$A$11:$BN$18,MATCH(Summary!AY$1,'IA1-Final Void inc Ramps'!$A$9:$BN$9,1),FALSE),0)</f>
        <v>171.6</v>
      </c>
      <c r="AZ23" s="51">
        <f>IFERROR(VLOOKUP($B23,'RA1- Elevated Dumps Upper'!$A$11:$BN$18,MATCH(Summary!AZ$1,'RA1- Elevated Dumps Upper'!$A$9:$BN$9,1),FALSE),0)+IFERROR(VLOOKUP($B23,'RA2-Elevated Dumps Slopes'!$A$11:$BN$18,MATCH(Summary!AZ$1,'RA2-Elevated Dumps Slopes'!$A$9:$BN$9,1),FALSE),0)+IFERROR(VLOOKUP($B23,'RA3-Backfilled Pits'!$A$11:$BN$18,MATCH(Summary!AZ$1,'RA3-Backfilled Pits'!$A$9:$BN$9,1),FALSE),0)+IFERROR(VLOOKUP($B23,'RA4-Tracks_Roads'!$A$11:$BN$18,MATCH(Summary!AZ$1,'RA4-Tracks_Roads'!$A$9:$BN$9,1),FALSE),0)+IFERROR(VLOOKUP($B23,'RA5-ROM'!$A$11:$BN$18,MATCH(Summary!AZ$1,'RA5-ROM'!$A$9:$BN$9,1),FALSE),0)+IFERROR(VLOOKUP($B23,'RA6-CHPP'!$A$11:$BN$18,MATCH(Summary!AZ$1,'RA6-CHPP'!$A$9:$BN$9,1),FALSE),0)+IFERROR(VLOOKUP($B23,'RA7-Mine Infrastructure Area'!$A$11:$BN$18,MATCH(Summary!AZ$1,'RA7-Mine Infrastructure Area'!$A$9:$BN$9,1),FALSE),0)+IFERROR(VLOOKUP($B23,'RA8-Water Management Structures'!$A$11:$BN$18,MATCH(Summary!AZ$1,'RA8-Water Management Structures'!$A$9:$BN$9,1),FALSE),0)+IFERROR(VLOOKUP($B23,'RA9-Codisposal Upper'!$A$11:$BN$18,MATCH(Summary!AZ$1,'RA9-Codisposal Upper'!$A$9:$BN$9,1),FALSE),0)+IFERROR(VLOOKUP($B23,'RA10-Codisposal Slopes'!$A$11:$BN$18,MATCH(Summary!AZ$1,'RA10-Codisposal Slopes'!$A$9:$BN$9,1),FALSE),0)+IFERROR(VLOOKUP($B23,'IA1-Final Void inc Ramps'!$A$11:$BN$18,MATCH(Summary!AZ$1,'IA1-Final Void inc Ramps'!$A$9:$BN$9,1),FALSE),0)</f>
        <v>171.6</v>
      </c>
      <c r="BA23" s="51">
        <f>IFERROR(VLOOKUP($B23,'RA1- Elevated Dumps Upper'!$A$11:$BN$18,MATCH(Summary!BA$1,'RA1- Elevated Dumps Upper'!$A$9:$BN$9,1),FALSE),0)+IFERROR(VLOOKUP($B23,'RA2-Elevated Dumps Slopes'!$A$11:$BN$18,MATCH(Summary!BA$1,'RA2-Elevated Dumps Slopes'!$A$9:$BN$9,1),FALSE),0)+IFERROR(VLOOKUP($B23,'RA3-Backfilled Pits'!$A$11:$BN$18,MATCH(Summary!BA$1,'RA3-Backfilled Pits'!$A$9:$BN$9,1),FALSE),0)+IFERROR(VLOOKUP($B23,'RA4-Tracks_Roads'!$A$11:$BN$18,MATCH(Summary!BA$1,'RA4-Tracks_Roads'!$A$9:$BN$9,1),FALSE),0)+IFERROR(VLOOKUP($B23,'RA5-ROM'!$A$11:$BN$18,MATCH(Summary!BA$1,'RA5-ROM'!$A$9:$BN$9,1),FALSE),0)+IFERROR(VLOOKUP($B23,'RA6-CHPP'!$A$11:$BN$18,MATCH(Summary!BA$1,'RA6-CHPP'!$A$9:$BN$9,1),FALSE),0)+IFERROR(VLOOKUP($B23,'RA7-Mine Infrastructure Area'!$A$11:$BN$18,MATCH(Summary!BA$1,'RA7-Mine Infrastructure Area'!$A$9:$BN$9,1),FALSE),0)+IFERROR(VLOOKUP($B23,'RA8-Water Management Structures'!$A$11:$BN$18,MATCH(Summary!BA$1,'RA8-Water Management Structures'!$A$9:$BN$9,1),FALSE),0)+IFERROR(VLOOKUP($B23,'RA9-Codisposal Upper'!$A$11:$BN$18,MATCH(Summary!BA$1,'RA9-Codisposal Upper'!$A$9:$BN$9,1),FALSE),0)+IFERROR(VLOOKUP($B23,'RA10-Codisposal Slopes'!$A$11:$BN$18,MATCH(Summary!BA$1,'RA10-Codisposal Slopes'!$A$9:$BN$9,1),FALSE),0)+IFERROR(VLOOKUP($B23,'IA1-Final Void inc Ramps'!$A$11:$BN$18,MATCH(Summary!BA$1,'IA1-Final Void inc Ramps'!$A$9:$BN$9,1),FALSE),0)</f>
        <v>171.6</v>
      </c>
      <c r="BB23" s="51">
        <f>IFERROR(VLOOKUP($B23,'RA1- Elevated Dumps Upper'!$A$11:$BN$18,MATCH(Summary!BB$1,'RA1- Elevated Dumps Upper'!$A$9:$BN$9,1),FALSE),0)+IFERROR(VLOOKUP($B23,'RA2-Elevated Dumps Slopes'!$A$11:$BN$18,MATCH(Summary!BB$1,'RA2-Elevated Dumps Slopes'!$A$9:$BN$9,1),FALSE),0)+IFERROR(VLOOKUP($B23,'RA3-Backfilled Pits'!$A$11:$BN$18,MATCH(Summary!BB$1,'RA3-Backfilled Pits'!$A$9:$BN$9,1),FALSE),0)+IFERROR(VLOOKUP($B23,'RA4-Tracks_Roads'!$A$11:$BN$18,MATCH(Summary!BB$1,'RA4-Tracks_Roads'!$A$9:$BN$9,1),FALSE),0)+IFERROR(VLOOKUP($B23,'RA5-ROM'!$A$11:$BN$18,MATCH(Summary!BB$1,'RA5-ROM'!$A$9:$BN$9,1),FALSE),0)+IFERROR(VLOOKUP($B23,'RA6-CHPP'!$A$11:$BN$18,MATCH(Summary!BB$1,'RA6-CHPP'!$A$9:$BN$9,1),FALSE),0)+IFERROR(VLOOKUP($B23,'RA7-Mine Infrastructure Area'!$A$11:$BN$18,MATCH(Summary!BB$1,'RA7-Mine Infrastructure Area'!$A$9:$BN$9,1),FALSE),0)+IFERROR(VLOOKUP($B23,'RA8-Water Management Structures'!$A$11:$BN$18,MATCH(Summary!BB$1,'RA8-Water Management Structures'!$A$9:$BN$9,1),FALSE),0)+IFERROR(VLOOKUP($B23,'RA9-Codisposal Upper'!$A$11:$BN$18,MATCH(Summary!BB$1,'RA9-Codisposal Upper'!$A$9:$BN$9,1),FALSE),0)+IFERROR(VLOOKUP($B23,'RA10-Codisposal Slopes'!$A$11:$BN$18,MATCH(Summary!BB$1,'RA10-Codisposal Slopes'!$A$9:$BN$9,1),FALSE),0)+IFERROR(VLOOKUP($B23,'IA1-Final Void inc Ramps'!$A$11:$BN$18,MATCH(Summary!BB$1,'IA1-Final Void inc Ramps'!$A$9:$BN$9,1),FALSE),0)</f>
        <v>171.6</v>
      </c>
      <c r="BC23" s="51">
        <f>IFERROR(VLOOKUP($B23,'RA1- Elevated Dumps Upper'!$A$11:$BN$18,MATCH(Summary!BC$1,'RA1- Elevated Dumps Upper'!$A$9:$BN$9,1),FALSE),0)+IFERROR(VLOOKUP($B23,'RA2-Elevated Dumps Slopes'!$A$11:$BN$18,MATCH(Summary!BC$1,'RA2-Elevated Dumps Slopes'!$A$9:$BN$9,1),FALSE),0)+IFERROR(VLOOKUP($B23,'RA3-Backfilled Pits'!$A$11:$BN$18,MATCH(Summary!BC$1,'RA3-Backfilled Pits'!$A$9:$BN$9,1),FALSE),0)+IFERROR(VLOOKUP($B23,'RA4-Tracks_Roads'!$A$11:$BN$18,MATCH(Summary!BC$1,'RA4-Tracks_Roads'!$A$9:$BN$9,1),FALSE),0)+IFERROR(VLOOKUP($B23,'RA5-ROM'!$A$11:$BN$18,MATCH(Summary!BC$1,'RA5-ROM'!$A$9:$BN$9,1),FALSE),0)+IFERROR(VLOOKUP($B23,'RA6-CHPP'!$A$11:$BN$18,MATCH(Summary!BC$1,'RA6-CHPP'!$A$9:$BN$9,1),FALSE),0)+IFERROR(VLOOKUP($B23,'RA7-Mine Infrastructure Area'!$A$11:$BN$18,MATCH(Summary!BC$1,'RA7-Mine Infrastructure Area'!$A$9:$BN$9,1),FALSE),0)+IFERROR(VLOOKUP($B23,'RA8-Water Management Structures'!$A$11:$BN$18,MATCH(Summary!BC$1,'RA8-Water Management Structures'!$A$9:$BN$9,1),FALSE),0)+IFERROR(VLOOKUP($B23,'RA9-Codisposal Upper'!$A$11:$BN$18,MATCH(Summary!BC$1,'RA9-Codisposal Upper'!$A$9:$BN$9,1),FALSE),0)+IFERROR(VLOOKUP($B23,'RA10-Codisposal Slopes'!$A$11:$BN$18,MATCH(Summary!BC$1,'RA10-Codisposal Slopes'!$A$9:$BN$9,1),FALSE),0)+IFERROR(VLOOKUP($B23,'IA1-Final Void inc Ramps'!$A$11:$BN$18,MATCH(Summary!BC$1,'IA1-Final Void inc Ramps'!$A$9:$BN$9,1),FALSE),0)</f>
        <v>171.6</v>
      </c>
      <c r="BD23" s="51">
        <f>IFERROR(VLOOKUP($B23,'RA1- Elevated Dumps Upper'!$A$11:$BN$18,MATCH(Summary!BD$1,'RA1- Elevated Dumps Upper'!$A$9:$BN$9,1),FALSE),0)+IFERROR(VLOOKUP($B23,'RA2-Elevated Dumps Slopes'!$A$11:$BN$18,MATCH(Summary!BD$1,'RA2-Elevated Dumps Slopes'!$A$9:$BN$9,1),FALSE),0)+IFERROR(VLOOKUP($B23,'RA3-Backfilled Pits'!$A$11:$BN$18,MATCH(Summary!BD$1,'RA3-Backfilled Pits'!$A$9:$BN$9,1),FALSE),0)+IFERROR(VLOOKUP($B23,'RA4-Tracks_Roads'!$A$11:$BN$18,MATCH(Summary!BD$1,'RA4-Tracks_Roads'!$A$9:$BN$9,1),FALSE),0)+IFERROR(VLOOKUP($B23,'RA5-ROM'!$A$11:$BN$18,MATCH(Summary!BD$1,'RA5-ROM'!$A$9:$BN$9,1),FALSE),0)+IFERROR(VLOOKUP($B23,'RA6-CHPP'!$A$11:$BN$18,MATCH(Summary!BD$1,'RA6-CHPP'!$A$9:$BN$9,1),FALSE),0)+IFERROR(VLOOKUP($B23,'RA7-Mine Infrastructure Area'!$A$11:$BN$18,MATCH(Summary!BD$1,'RA7-Mine Infrastructure Area'!$A$9:$BN$9,1),FALSE),0)+IFERROR(VLOOKUP($B23,'RA8-Water Management Structures'!$A$11:$BN$18,MATCH(Summary!BD$1,'RA8-Water Management Structures'!$A$9:$BN$9,1),FALSE),0)+IFERROR(VLOOKUP($B23,'RA9-Codisposal Upper'!$A$11:$BN$18,MATCH(Summary!BD$1,'RA9-Codisposal Upper'!$A$9:$BN$9,1),FALSE),0)+IFERROR(VLOOKUP($B23,'RA10-Codisposal Slopes'!$A$11:$BN$18,MATCH(Summary!BD$1,'RA10-Codisposal Slopes'!$A$9:$BN$9,1),FALSE),0)+IFERROR(VLOOKUP($B23,'IA1-Final Void inc Ramps'!$A$11:$BN$18,MATCH(Summary!BD$1,'IA1-Final Void inc Ramps'!$A$9:$BN$9,1),FALSE),0)</f>
        <v>171.6</v>
      </c>
      <c r="BE23" s="51">
        <f>IFERROR(VLOOKUP($B23,'RA1- Elevated Dumps Upper'!$A$11:$BN$18,MATCH(Summary!BE$1,'RA1- Elevated Dumps Upper'!$A$9:$BN$9,1),FALSE),0)+IFERROR(VLOOKUP($B23,'RA2-Elevated Dumps Slopes'!$A$11:$BN$18,MATCH(Summary!BE$1,'RA2-Elevated Dumps Slopes'!$A$9:$BN$9,1),FALSE),0)+IFERROR(VLOOKUP($B23,'RA3-Backfilled Pits'!$A$11:$BN$18,MATCH(Summary!BE$1,'RA3-Backfilled Pits'!$A$9:$BN$9,1),FALSE),0)+IFERROR(VLOOKUP($B23,'RA4-Tracks_Roads'!$A$11:$BN$18,MATCH(Summary!BE$1,'RA4-Tracks_Roads'!$A$9:$BN$9,1),FALSE),0)+IFERROR(VLOOKUP($B23,'RA5-ROM'!$A$11:$BN$18,MATCH(Summary!BE$1,'RA5-ROM'!$A$9:$BN$9,1),FALSE),0)+IFERROR(VLOOKUP($B23,'RA6-CHPP'!$A$11:$BN$18,MATCH(Summary!BE$1,'RA6-CHPP'!$A$9:$BN$9,1),FALSE),0)+IFERROR(VLOOKUP($B23,'RA7-Mine Infrastructure Area'!$A$11:$BN$18,MATCH(Summary!BE$1,'RA7-Mine Infrastructure Area'!$A$9:$BN$9,1),FALSE),0)+IFERROR(VLOOKUP($B23,'RA8-Water Management Structures'!$A$11:$BN$18,MATCH(Summary!BE$1,'RA8-Water Management Structures'!$A$9:$BN$9,1),FALSE),0)+IFERROR(VLOOKUP($B23,'RA9-Codisposal Upper'!$A$11:$BN$18,MATCH(Summary!BE$1,'RA9-Codisposal Upper'!$A$9:$BN$9,1),FALSE),0)+IFERROR(VLOOKUP($B23,'RA10-Codisposal Slopes'!$A$11:$BN$18,MATCH(Summary!BE$1,'RA10-Codisposal Slopes'!$A$9:$BN$9,1),FALSE),0)+IFERROR(VLOOKUP($B23,'IA1-Final Void inc Ramps'!$A$11:$BN$18,MATCH(Summary!BE$1,'IA1-Final Void inc Ramps'!$A$9:$BN$9,1),FALSE),0)</f>
        <v>171.6</v>
      </c>
      <c r="BF23" s="51">
        <f>IFERROR(VLOOKUP($B23,'RA1- Elevated Dumps Upper'!$A$11:$BN$18,MATCH(Summary!BF$1,'RA1- Elevated Dumps Upper'!$A$9:$BN$9,1),FALSE),0)+IFERROR(VLOOKUP($B23,'RA2-Elevated Dumps Slopes'!$A$11:$BN$18,MATCH(Summary!BF$1,'RA2-Elevated Dumps Slopes'!$A$9:$BN$9,1),FALSE),0)+IFERROR(VLOOKUP($B23,'RA3-Backfilled Pits'!$A$11:$BN$18,MATCH(Summary!BF$1,'RA3-Backfilled Pits'!$A$9:$BN$9,1),FALSE),0)+IFERROR(VLOOKUP($B23,'RA4-Tracks_Roads'!$A$11:$BN$18,MATCH(Summary!BF$1,'RA4-Tracks_Roads'!$A$9:$BN$9,1),FALSE),0)+IFERROR(VLOOKUP($B23,'RA5-ROM'!$A$11:$BN$18,MATCH(Summary!BF$1,'RA5-ROM'!$A$9:$BN$9,1),FALSE),0)+IFERROR(VLOOKUP($B23,'RA6-CHPP'!$A$11:$BN$18,MATCH(Summary!BF$1,'RA6-CHPP'!$A$9:$BN$9,1),FALSE),0)+IFERROR(VLOOKUP($B23,'RA7-Mine Infrastructure Area'!$A$11:$BN$18,MATCH(Summary!BF$1,'RA7-Mine Infrastructure Area'!$A$9:$BN$9,1),FALSE),0)+IFERROR(VLOOKUP($B23,'RA8-Water Management Structures'!$A$11:$BN$18,MATCH(Summary!BF$1,'RA8-Water Management Structures'!$A$9:$BN$9,1),FALSE),0)+IFERROR(VLOOKUP($B23,'RA9-Codisposal Upper'!$A$11:$BN$18,MATCH(Summary!BF$1,'RA9-Codisposal Upper'!$A$9:$BN$9,1),FALSE),0)+IFERROR(VLOOKUP($B23,'RA10-Codisposal Slopes'!$A$11:$BN$18,MATCH(Summary!BF$1,'RA10-Codisposal Slopes'!$A$9:$BN$9,1),FALSE),0)+IFERROR(VLOOKUP($B23,'IA1-Final Void inc Ramps'!$A$11:$BN$18,MATCH(Summary!BF$1,'IA1-Final Void inc Ramps'!$A$9:$BN$9,1),FALSE),0)</f>
        <v>171.6</v>
      </c>
      <c r="BG23" s="51">
        <f>IFERROR(VLOOKUP($B23,'RA1- Elevated Dumps Upper'!$A$11:$BN$18,MATCH(Summary!BG$1,'RA1- Elevated Dumps Upper'!$A$9:$BN$9,1),FALSE),0)+IFERROR(VLOOKUP($B23,'RA2-Elevated Dumps Slopes'!$A$11:$BN$18,MATCH(Summary!BG$1,'RA2-Elevated Dumps Slopes'!$A$9:$BN$9,1),FALSE),0)+IFERROR(VLOOKUP($B23,'RA3-Backfilled Pits'!$A$11:$BN$18,MATCH(Summary!BG$1,'RA3-Backfilled Pits'!$A$9:$BN$9,1),FALSE),0)+IFERROR(VLOOKUP($B23,'RA4-Tracks_Roads'!$A$11:$BN$18,MATCH(Summary!BG$1,'RA4-Tracks_Roads'!$A$9:$BN$9,1),FALSE),0)+IFERROR(VLOOKUP($B23,'RA5-ROM'!$A$11:$BN$18,MATCH(Summary!BG$1,'RA5-ROM'!$A$9:$BN$9,1),FALSE),0)+IFERROR(VLOOKUP($B23,'RA6-CHPP'!$A$11:$BN$18,MATCH(Summary!BG$1,'RA6-CHPP'!$A$9:$BN$9,1),FALSE),0)+IFERROR(VLOOKUP($B23,'RA7-Mine Infrastructure Area'!$A$11:$BN$18,MATCH(Summary!BG$1,'RA7-Mine Infrastructure Area'!$A$9:$BN$9,1),FALSE),0)+IFERROR(VLOOKUP($B23,'RA8-Water Management Structures'!$A$11:$BN$18,MATCH(Summary!BG$1,'RA8-Water Management Structures'!$A$9:$BN$9,1),FALSE),0)+IFERROR(VLOOKUP($B23,'RA9-Codisposal Upper'!$A$11:$BN$18,MATCH(Summary!BG$1,'RA9-Codisposal Upper'!$A$9:$BN$9,1),FALSE),0)+IFERROR(VLOOKUP($B23,'RA10-Codisposal Slopes'!$A$11:$BN$18,MATCH(Summary!BG$1,'RA10-Codisposal Slopes'!$A$9:$BN$9,1),FALSE),0)+IFERROR(VLOOKUP($B23,'IA1-Final Void inc Ramps'!$A$11:$BN$18,MATCH(Summary!BG$1,'IA1-Final Void inc Ramps'!$A$9:$BN$9,1),FALSE),0)</f>
        <v>171.6</v>
      </c>
      <c r="BH23" s="51">
        <f>IFERROR(VLOOKUP($B23,'RA1- Elevated Dumps Upper'!$A$11:$BN$18,MATCH(Summary!BH$1,'RA1- Elevated Dumps Upper'!$A$9:$BN$9,1),FALSE),0)+IFERROR(VLOOKUP($B23,'RA2-Elevated Dumps Slopes'!$A$11:$BN$18,MATCH(Summary!BH$1,'RA2-Elevated Dumps Slopes'!$A$9:$BN$9,1),FALSE),0)+IFERROR(VLOOKUP($B23,'RA3-Backfilled Pits'!$A$11:$BN$18,MATCH(Summary!BH$1,'RA3-Backfilled Pits'!$A$9:$BN$9,1),FALSE),0)+IFERROR(VLOOKUP($B23,'RA4-Tracks_Roads'!$A$11:$BN$18,MATCH(Summary!BH$1,'RA4-Tracks_Roads'!$A$9:$BN$9,1),FALSE),0)+IFERROR(VLOOKUP($B23,'RA5-ROM'!$A$11:$BN$18,MATCH(Summary!BH$1,'RA5-ROM'!$A$9:$BN$9,1),FALSE),0)+IFERROR(VLOOKUP($B23,'RA6-CHPP'!$A$11:$BN$18,MATCH(Summary!BH$1,'RA6-CHPP'!$A$9:$BN$9,1),FALSE),0)+IFERROR(VLOOKUP($B23,'RA7-Mine Infrastructure Area'!$A$11:$BN$18,MATCH(Summary!BH$1,'RA7-Mine Infrastructure Area'!$A$9:$BN$9,1),FALSE),0)+IFERROR(VLOOKUP($B23,'RA8-Water Management Structures'!$A$11:$BN$18,MATCH(Summary!BH$1,'RA8-Water Management Structures'!$A$9:$BN$9,1),FALSE),0)+IFERROR(VLOOKUP($B23,'RA9-Codisposal Upper'!$A$11:$BN$18,MATCH(Summary!BH$1,'RA9-Codisposal Upper'!$A$9:$BN$9,1),FALSE),0)+IFERROR(VLOOKUP($B23,'RA10-Codisposal Slopes'!$A$11:$BN$18,MATCH(Summary!BH$1,'RA10-Codisposal Slopes'!$A$9:$BN$9,1),FALSE),0)+IFERROR(VLOOKUP($B23,'IA1-Final Void inc Ramps'!$A$11:$BN$18,MATCH(Summary!BH$1,'IA1-Final Void inc Ramps'!$A$9:$BN$9,1),FALSE),0)</f>
        <v>171.6</v>
      </c>
      <c r="BI23" s="51">
        <f>IFERROR(VLOOKUP($B23,'RA1- Elevated Dumps Upper'!$A$11:$BN$18,MATCH(Summary!BI$1,'RA1- Elevated Dumps Upper'!$A$9:$BN$9,1),FALSE),0)+IFERROR(VLOOKUP($B23,'RA2-Elevated Dumps Slopes'!$A$11:$BN$18,MATCH(Summary!BI$1,'RA2-Elevated Dumps Slopes'!$A$9:$BN$9,1),FALSE),0)+IFERROR(VLOOKUP($B23,'RA3-Backfilled Pits'!$A$11:$BN$18,MATCH(Summary!BI$1,'RA3-Backfilled Pits'!$A$9:$BN$9,1),FALSE),0)+IFERROR(VLOOKUP($B23,'RA4-Tracks_Roads'!$A$11:$BN$18,MATCH(Summary!BI$1,'RA4-Tracks_Roads'!$A$9:$BN$9,1),FALSE),0)+IFERROR(VLOOKUP($B23,'RA5-ROM'!$A$11:$BN$18,MATCH(Summary!BI$1,'RA5-ROM'!$A$9:$BN$9,1),FALSE),0)+IFERROR(VLOOKUP($B23,'RA6-CHPP'!$A$11:$BN$18,MATCH(Summary!BI$1,'RA6-CHPP'!$A$9:$BN$9,1),FALSE),0)+IFERROR(VLOOKUP($B23,'RA7-Mine Infrastructure Area'!$A$11:$BN$18,MATCH(Summary!BI$1,'RA7-Mine Infrastructure Area'!$A$9:$BN$9,1),FALSE),0)+IFERROR(VLOOKUP($B23,'RA8-Water Management Structures'!$A$11:$BN$18,MATCH(Summary!BI$1,'RA8-Water Management Structures'!$A$9:$BN$9,1),FALSE),0)+IFERROR(VLOOKUP($B23,'RA9-Codisposal Upper'!$A$11:$BN$18,MATCH(Summary!BI$1,'RA9-Codisposal Upper'!$A$9:$BN$9,1),FALSE),0)+IFERROR(VLOOKUP($B23,'RA10-Codisposal Slopes'!$A$11:$BN$18,MATCH(Summary!BI$1,'RA10-Codisposal Slopes'!$A$9:$BN$9,1),FALSE),0)+IFERROR(VLOOKUP($B23,'IA1-Final Void inc Ramps'!$A$11:$BN$18,MATCH(Summary!BI$1,'IA1-Final Void inc Ramps'!$A$9:$BN$9,1),FALSE),0)</f>
        <v>171.6</v>
      </c>
      <c r="BJ23" s="51">
        <f>IFERROR(VLOOKUP($B23,'RA1- Elevated Dumps Upper'!$A$11:$BN$18,MATCH(Summary!BJ$1,'RA1- Elevated Dumps Upper'!$A$9:$BN$9,1),FALSE),0)+IFERROR(VLOOKUP($B23,'RA2-Elevated Dumps Slopes'!$A$11:$BN$18,MATCH(Summary!BJ$1,'RA2-Elevated Dumps Slopes'!$A$9:$BN$9,1),FALSE),0)+IFERROR(VLOOKUP($B23,'RA3-Backfilled Pits'!$A$11:$BN$18,MATCH(Summary!BJ$1,'RA3-Backfilled Pits'!$A$9:$BN$9,1),FALSE),0)+IFERROR(VLOOKUP($B23,'RA4-Tracks_Roads'!$A$11:$BN$18,MATCH(Summary!BJ$1,'RA4-Tracks_Roads'!$A$9:$BN$9,1),FALSE),0)+IFERROR(VLOOKUP($B23,'RA5-ROM'!$A$11:$BN$18,MATCH(Summary!BJ$1,'RA5-ROM'!$A$9:$BN$9,1),FALSE),0)+IFERROR(VLOOKUP($B23,'RA6-CHPP'!$A$11:$BN$18,MATCH(Summary!BJ$1,'RA6-CHPP'!$A$9:$BN$9,1),FALSE),0)+IFERROR(VLOOKUP($B23,'RA7-Mine Infrastructure Area'!$A$11:$BN$18,MATCH(Summary!BJ$1,'RA7-Mine Infrastructure Area'!$A$9:$BN$9,1),FALSE),0)+IFERROR(VLOOKUP($B23,'RA8-Water Management Structures'!$A$11:$BN$18,MATCH(Summary!BJ$1,'RA8-Water Management Structures'!$A$9:$BN$9,1),FALSE),0)+IFERROR(VLOOKUP($B23,'RA9-Codisposal Upper'!$A$11:$BN$18,MATCH(Summary!BJ$1,'RA9-Codisposal Upper'!$A$9:$BN$9,1),FALSE),0)+IFERROR(VLOOKUP($B23,'RA10-Codisposal Slopes'!$A$11:$BN$18,MATCH(Summary!BJ$1,'RA10-Codisposal Slopes'!$A$9:$BN$9,1),FALSE),0)+IFERROR(VLOOKUP($B23,'IA1-Final Void inc Ramps'!$A$11:$BN$18,MATCH(Summary!BJ$1,'IA1-Final Void inc Ramps'!$A$9:$BN$9,1),FALSE),0)</f>
        <v>171.6</v>
      </c>
      <c r="BK23" s="51">
        <f>IFERROR(VLOOKUP($B23,'RA1- Elevated Dumps Upper'!$A$11:$BN$18,MATCH(Summary!BK$1,'RA1- Elevated Dumps Upper'!$A$9:$BN$9,1),FALSE),0)+IFERROR(VLOOKUP($B23,'RA2-Elevated Dumps Slopes'!$A$11:$BN$18,MATCH(Summary!BK$1,'RA2-Elevated Dumps Slopes'!$A$9:$BN$9,1),FALSE),0)+IFERROR(VLOOKUP($B23,'RA3-Backfilled Pits'!$A$11:$BN$18,MATCH(Summary!BK$1,'RA3-Backfilled Pits'!$A$9:$BN$9,1),FALSE),0)+IFERROR(VLOOKUP($B23,'RA4-Tracks_Roads'!$A$11:$BN$18,MATCH(Summary!BK$1,'RA4-Tracks_Roads'!$A$9:$BN$9,1),FALSE),0)+IFERROR(VLOOKUP($B23,'RA5-ROM'!$A$11:$BN$18,MATCH(Summary!BK$1,'RA5-ROM'!$A$9:$BN$9,1),FALSE),0)+IFERROR(VLOOKUP($B23,'RA6-CHPP'!$A$11:$BN$18,MATCH(Summary!BK$1,'RA6-CHPP'!$A$9:$BN$9,1),FALSE),0)+IFERROR(VLOOKUP($B23,'RA7-Mine Infrastructure Area'!$A$11:$BN$18,MATCH(Summary!BK$1,'RA7-Mine Infrastructure Area'!$A$9:$BN$9,1),FALSE),0)+IFERROR(VLOOKUP($B23,'RA8-Water Management Structures'!$A$11:$BN$18,MATCH(Summary!BK$1,'RA8-Water Management Structures'!$A$9:$BN$9,1),FALSE),0)+IFERROR(VLOOKUP($B23,'RA9-Codisposal Upper'!$A$11:$BN$18,MATCH(Summary!BK$1,'RA9-Codisposal Upper'!$A$9:$BN$9,1),FALSE),0)+IFERROR(VLOOKUP($B23,'RA10-Codisposal Slopes'!$A$11:$BN$18,MATCH(Summary!BK$1,'RA10-Codisposal Slopes'!$A$9:$BN$9,1),FALSE),0)+IFERROR(VLOOKUP($B23,'IA1-Final Void inc Ramps'!$A$11:$BN$18,MATCH(Summary!BK$1,'IA1-Final Void inc Ramps'!$A$9:$BN$9,1),FALSE),0)</f>
        <v>171.6</v>
      </c>
      <c r="BL23" s="51">
        <f>IFERROR(VLOOKUP($B23,'RA1- Elevated Dumps Upper'!$A$11:$BN$18,MATCH(Summary!BL$1,'RA1- Elevated Dumps Upper'!$A$9:$BN$9,1),FALSE),0)+IFERROR(VLOOKUP($B23,'RA2-Elevated Dumps Slopes'!$A$11:$BN$18,MATCH(Summary!BL$1,'RA2-Elevated Dumps Slopes'!$A$9:$BN$9,1),FALSE),0)+IFERROR(VLOOKUP($B23,'RA3-Backfilled Pits'!$A$11:$BN$18,MATCH(Summary!BL$1,'RA3-Backfilled Pits'!$A$9:$BN$9,1),FALSE),0)+IFERROR(VLOOKUP($B23,'RA4-Tracks_Roads'!$A$11:$BN$18,MATCH(Summary!BL$1,'RA4-Tracks_Roads'!$A$9:$BN$9,1),FALSE),0)+IFERROR(VLOOKUP($B23,'RA5-ROM'!$A$11:$BN$18,MATCH(Summary!BL$1,'RA5-ROM'!$A$9:$BN$9,1),FALSE),0)+IFERROR(VLOOKUP($B23,'RA6-CHPP'!$A$11:$BN$18,MATCH(Summary!BL$1,'RA6-CHPP'!$A$9:$BN$9,1),FALSE),0)+IFERROR(VLOOKUP($B23,'RA7-Mine Infrastructure Area'!$A$11:$BN$18,MATCH(Summary!BL$1,'RA7-Mine Infrastructure Area'!$A$9:$BN$9,1),FALSE),0)+IFERROR(VLOOKUP($B23,'RA8-Water Management Structures'!$A$11:$BN$18,MATCH(Summary!BL$1,'RA8-Water Management Structures'!$A$9:$BN$9,1),FALSE),0)+IFERROR(VLOOKUP($B23,'RA9-Codisposal Upper'!$A$11:$BN$18,MATCH(Summary!BL$1,'RA9-Codisposal Upper'!$A$9:$BN$9,1),FALSE),0)+IFERROR(VLOOKUP($B23,'RA10-Codisposal Slopes'!$A$11:$BN$18,MATCH(Summary!BL$1,'RA10-Codisposal Slopes'!$A$9:$BN$9,1),FALSE),0)+IFERROR(VLOOKUP($B23,'IA1-Final Void inc Ramps'!$A$11:$BN$18,MATCH(Summary!BL$1,'IA1-Final Void inc Ramps'!$A$9:$BN$9,1),FALSE),0)</f>
        <v>171.6</v>
      </c>
      <c r="BM23" s="51">
        <f>IFERROR(VLOOKUP($B23,'RA1- Elevated Dumps Upper'!$A$11:$BN$18,MATCH(Summary!BM$1,'RA1- Elevated Dumps Upper'!$A$9:$BN$9,1),FALSE),0)+IFERROR(VLOOKUP($B23,'RA2-Elevated Dumps Slopes'!$A$11:$BN$18,MATCH(Summary!BM$1,'RA2-Elevated Dumps Slopes'!$A$9:$BN$9,1),FALSE),0)+IFERROR(VLOOKUP($B23,'RA3-Backfilled Pits'!$A$11:$BN$18,MATCH(Summary!BM$1,'RA3-Backfilled Pits'!$A$9:$BN$9,1),FALSE),0)+IFERROR(VLOOKUP($B23,'RA4-Tracks_Roads'!$A$11:$BN$18,MATCH(Summary!BM$1,'RA4-Tracks_Roads'!$A$9:$BN$9,1),FALSE),0)+IFERROR(VLOOKUP($B23,'RA5-ROM'!$A$11:$BN$18,MATCH(Summary!BM$1,'RA5-ROM'!$A$9:$BN$9,1),FALSE),0)+IFERROR(VLOOKUP($B23,'RA6-CHPP'!$A$11:$BN$18,MATCH(Summary!BM$1,'RA6-CHPP'!$A$9:$BN$9,1),FALSE),0)+IFERROR(VLOOKUP($B23,'RA7-Mine Infrastructure Area'!$A$11:$BN$18,MATCH(Summary!BM$1,'RA7-Mine Infrastructure Area'!$A$9:$BN$9,1),FALSE),0)+IFERROR(VLOOKUP($B23,'RA8-Water Management Structures'!$A$11:$BN$18,MATCH(Summary!BM$1,'RA8-Water Management Structures'!$A$9:$BN$9,1),FALSE),0)+IFERROR(VLOOKUP($B23,'RA9-Codisposal Upper'!$A$11:$BN$18,MATCH(Summary!BM$1,'RA9-Codisposal Upper'!$A$9:$BN$9,1),FALSE),0)+IFERROR(VLOOKUP($B23,'RA10-Codisposal Slopes'!$A$11:$BN$18,MATCH(Summary!BM$1,'RA10-Codisposal Slopes'!$A$9:$BN$9,1),FALSE),0)+IFERROR(VLOOKUP($B23,'IA1-Final Void inc Ramps'!$A$11:$BN$18,MATCH(Summary!BM$1,'IA1-Final Void inc Ramps'!$A$9:$BN$9,1),FALSE),0)</f>
        <v>171.6</v>
      </c>
      <c r="BN23" s="51">
        <f>IFERROR(VLOOKUP($B23,'RA1- Elevated Dumps Upper'!$A$11:$BN$18,MATCH(Summary!BN$1,'RA1- Elevated Dumps Upper'!$A$9:$BN$9,1),FALSE),0)+IFERROR(VLOOKUP($B23,'RA2-Elevated Dumps Slopes'!$A$11:$BN$18,MATCH(Summary!BN$1,'RA2-Elevated Dumps Slopes'!$A$9:$BN$9,1),FALSE),0)+IFERROR(VLOOKUP($B23,'RA3-Backfilled Pits'!$A$11:$BN$18,MATCH(Summary!BN$1,'RA3-Backfilled Pits'!$A$9:$BN$9,1),FALSE),0)+IFERROR(VLOOKUP($B23,'RA4-Tracks_Roads'!$A$11:$BN$18,MATCH(Summary!BN$1,'RA4-Tracks_Roads'!$A$9:$BN$9,1),FALSE),0)+IFERROR(VLOOKUP($B23,'RA5-ROM'!$A$11:$BN$18,MATCH(Summary!BN$1,'RA5-ROM'!$A$9:$BN$9,1),FALSE),0)+IFERROR(VLOOKUP($B23,'RA6-CHPP'!$A$11:$BN$18,MATCH(Summary!BN$1,'RA6-CHPP'!$A$9:$BN$9,1),FALSE),0)+IFERROR(VLOOKUP($B23,'RA7-Mine Infrastructure Area'!$A$11:$BN$18,MATCH(Summary!BN$1,'RA7-Mine Infrastructure Area'!$A$9:$BN$9,1),FALSE),0)+IFERROR(VLOOKUP($B23,'RA8-Water Management Structures'!$A$11:$BN$18,MATCH(Summary!BN$1,'RA8-Water Management Structures'!$A$9:$BN$9,1),FALSE),0)+IFERROR(VLOOKUP($B23,'RA9-Codisposal Upper'!$A$11:$BN$18,MATCH(Summary!BN$1,'RA9-Codisposal Upper'!$A$9:$BN$9,1),FALSE),0)+IFERROR(VLOOKUP($B23,'RA10-Codisposal Slopes'!$A$11:$BN$18,MATCH(Summary!BN$1,'RA10-Codisposal Slopes'!$A$9:$BN$9,1),FALSE),0)+IFERROR(VLOOKUP($B23,'IA1-Final Void inc Ramps'!$A$11:$BN$18,MATCH(Summary!BN$1,'IA1-Final Void inc Ramps'!$A$9:$BN$9,1),FALSE),0)</f>
        <v>171.6</v>
      </c>
    </row>
    <row r="24" spans="1:66" x14ac:dyDescent="0.35">
      <c r="B24" t="s">
        <v>17</v>
      </c>
      <c r="D24" s="51">
        <f>IFERROR(VLOOKUP($B24,'RA1- Elevated Dumps Upper'!$A$11:$BN$18,MATCH(Summary!D$1,'RA1- Elevated Dumps Upper'!$A$9:$BN$9,1),FALSE),0)+IFERROR(VLOOKUP($B24,'RA2-Elevated Dumps Slopes'!$A$11:$BN$18,MATCH(Summary!D$1,'RA2-Elevated Dumps Slopes'!$A$9:$BN$9,1),FALSE),0)+IFERROR(VLOOKUP($B24,'RA3-Backfilled Pits'!$A$11:$BN$18,MATCH(Summary!D$1,'RA3-Backfilled Pits'!$A$9:$BN$9,1),FALSE),0)+IFERROR(VLOOKUP($B24,'RA4-Tracks_Roads'!$A$11:$BN$18,MATCH(Summary!D$1,'RA4-Tracks_Roads'!$A$9:$BN$9,1),FALSE),0)+IFERROR(VLOOKUP($B24,'RA5-ROM'!$A$11:$BN$18,MATCH(Summary!D$1,'RA5-ROM'!$A$9:$BN$9,1),FALSE),0)+IFERROR(VLOOKUP($B24,'RA6-CHPP'!$A$11:$BN$18,MATCH(Summary!D$1,'RA6-CHPP'!$A$9:$BN$9,1),FALSE),0)+IFERROR(VLOOKUP($B24,'RA7-Mine Infrastructure Area'!$A$11:$BN$18,MATCH(Summary!D$1,'RA7-Mine Infrastructure Area'!$A$9:$BN$9,1),FALSE),0)+IFERROR(VLOOKUP($B24,'RA8-Water Management Structures'!$A$11:$BN$18,MATCH(Summary!D$1,'RA8-Water Management Structures'!$A$9:$BN$9,1),FALSE),0)+IFERROR(VLOOKUP($B24,'RA9-Codisposal Upper'!$A$11:$BN$18,MATCH(Summary!D$1,'RA9-Codisposal Upper'!$A$9:$BN$9,1),FALSE),0)+IFERROR(VLOOKUP($B24,'RA10-Codisposal Slopes'!$A$11:$BN$18,MATCH(Summary!D$1,'RA10-Codisposal Slopes'!$A$9:$BN$9,1),FALSE),0)+IFERROR(VLOOKUP($B24,'IA1-Final Void inc Ramps'!$A$11:$BN$18,MATCH(Summary!D$1,'IA1-Final Void inc Ramps'!$A$9:$BN$9,1),FALSE),0)</f>
        <v>0</v>
      </c>
      <c r="E24" s="51">
        <f>IFERROR(VLOOKUP($B24,'RA1- Elevated Dumps Upper'!$A$11:$BN$18,MATCH(Summary!E$1,'RA1- Elevated Dumps Upper'!$A$9:$BN$9,1),FALSE),0)+IFERROR(VLOOKUP($B24,'RA2-Elevated Dumps Slopes'!$A$11:$BN$18,MATCH(Summary!E$1,'RA2-Elevated Dumps Slopes'!$A$9:$BN$9,1),FALSE),0)+IFERROR(VLOOKUP($B24,'RA3-Backfilled Pits'!$A$11:$BN$18,MATCH(Summary!E$1,'RA3-Backfilled Pits'!$A$9:$BN$9,1),FALSE),0)+IFERROR(VLOOKUP($B24,'RA4-Tracks_Roads'!$A$11:$BN$18,MATCH(Summary!E$1,'RA4-Tracks_Roads'!$A$9:$BN$9,1),FALSE),0)+IFERROR(VLOOKUP($B24,'RA5-ROM'!$A$11:$BN$18,MATCH(Summary!E$1,'RA5-ROM'!$A$9:$BN$9,1),FALSE),0)+IFERROR(VLOOKUP($B24,'RA6-CHPP'!$A$11:$BN$18,MATCH(Summary!E$1,'RA6-CHPP'!$A$9:$BN$9,1),FALSE),0)+IFERROR(VLOOKUP($B24,'RA7-Mine Infrastructure Area'!$A$11:$BN$18,MATCH(Summary!E$1,'RA7-Mine Infrastructure Area'!$A$9:$BN$9,1),FALSE),0)+IFERROR(VLOOKUP($B24,'RA8-Water Management Structures'!$A$11:$BN$18,MATCH(Summary!E$1,'RA8-Water Management Structures'!$A$9:$BN$9,1),FALSE),0)+IFERROR(VLOOKUP($B24,'RA9-Codisposal Upper'!$A$11:$BN$18,MATCH(Summary!E$1,'RA9-Codisposal Upper'!$A$9:$BN$9,1),FALSE),0)+IFERROR(VLOOKUP($B24,'RA10-Codisposal Slopes'!$A$11:$BN$18,MATCH(Summary!E$1,'RA10-Codisposal Slopes'!$A$9:$BN$9,1),FALSE),0)+IFERROR(VLOOKUP($B24,'IA1-Final Void inc Ramps'!$A$11:$BN$18,MATCH(Summary!E$1,'IA1-Final Void inc Ramps'!$A$9:$BN$9,1),FALSE),0)</f>
        <v>0</v>
      </c>
      <c r="F24" s="51">
        <f>IFERROR(VLOOKUP($B24,'RA1- Elevated Dumps Upper'!$A$11:$BN$18,MATCH(Summary!F$1,'RA1- Elevated Dumps Upper'!$A$9:$BN$9,1),FALSE),0)+IFERROR(VLOOKUP($B24,'RA2-Elevated Dumps Slopes'!$A$11:$BN$18,MATCH(Summary!F$1,'RA2-Elevated Dumps Slopes'!$A$9:$BN$9,1),FALSE),0)+IFERROR(VLOOKUP($B24,'RA3-Backfilled Pits'!$A$11:$BN$18,MATCH(Summary!F$1,'RA3-Backfilled Pits'!$A$9:$BN$9,1),FALSE),0)+IFERROR(VLOOKUP($B24,'RA4-Tracks_Roads'!$A$11:$BN$18,MATCH(Summary!F$1,'RA4-Tracks_Roads'!$A$9:$BN$9,1),FALSE),0)+IFERROR(VLOOKUP($B24,'RA5-ROM'!$A$11:$BN$18,MATCH(Summary!F$1,'RA5-ROM'!$A$9:$BN$9,1),FALSE),0)+IFERROR(VLOOKUP($B24,'RA6-CHPP'!$A$11:$BN$18,MATCH(Summary!F$1,'RA6-CHPP'!$A$9:$BN$9,1),FALSE),0)+IFERROR(VLOOKUP($B24,'RA7-Mine Infrastructure Area'!$A$11:$BN$18,MATCH(Summary!F$1,'RA7-Mine Infrastructure Area'!$A$9:$BN$9,1),FALSE),0)+IFERROR(VLOOKUP($B24,'RA8-Water Management Structures'!$A$11:$BN$18,MATCH(Summary!F$1,'RA8-Water Management Structures'!$A$9:$BN$9,1),FALSE),0)+IFERROR(VLOOKUP($B24,'RA9-Codisposal Upper'!$A$11:$BN$18,MATCH(Summary!F$1,'RA9-Codisposal Upper'!$A$9:$BN$9,1),FALSE),0)+IFERROR(VLOOKUP($B24,'RA10-Codisposal Slopes'!$A$11:$BN$18,MATCH(Summary!F$1,'RA10-Codisposal Slopes'!$A$9:$BN$9,1),FALSE),0)+IFERROR(VLOOKUP($B24,'IA1-Final Void inc Ramps'!$A$11:$BN$18,MATCH(Summary!F$1,'IA1-Final Void inc Ramps'!$A$9:$BN$9,1),FALSE),0)</f>
        <v>0</v>
      </c>
      <c r="G24" s="51">
        <f>IFERROR(VLOOKUP($B24,'RA1- Elevated Dumps Upper'!$A$11:$BN$18,MATCH(Summary!G$1,'RA1- Elevated Dumps Upper'!$A$9:$BN$9,1),FALSE),0)+IFERROR(VLOOKUP($B24,'RA2-Elevated Dumps Slopes'!$A$11:$BN$18,MATCH(Summary!G$1,'RA2-Elevated Dumps Slopes'!$A$9:$BN$9,1),FALSE),0)+IFERROR(VLOOKUP($B24,'RA3-Backfilled Pits'!$A$11:$BN$18,MATCH(Summary!G$1,'RA3-Backfilled Pits'!$A$9:$BN$9,1),FALSE),0)+IFERROR(VLOOKUP($B24,'RA4-Tracks_Roads'!$A$11:$BN$18,MATCH(Summary!G$1,'RA4-Tracks_Roads'!$A$9:$BN$9,1),FALSE),0)+IFERROR(VLOOKUP($B24,'RA5-ROM'!$A$11:$BN$18,MATCH(Summary!G$1,'RA5-ROM'!$A$9:$BN$9,1),FALSE),0)+IFERROR(VLOOKUP($B24,'RA6-CHPP'!$A$11:$BN$18,MATCH(Summary!G$1,'RA6-CHPP'!$A$9:$BN$9,1),FALSE),0)+IFERROR(VLOOKUP($B24,'RA7-Mine Infrastructure Area'!$A$11:$BN$18,MATCH(Summary!G$1,'RA7-Mine Infrastructure Area'!$A$9:$BN$9,1),FALSE),0)+IFERROR(VLOOKUP($B24,'RA8-Water Management Structures'!$A$11:$BN$18,MATCH(Summary!G$1,'RA8-Water Management Structures'!$A$9:$BN$9,1),FALSE),0)+IFERROR(VLOOKUP($B24,'RA9-Codisposal Upper'!$A$11:$BN$18,MATCH(Summary!G$1,'RA9-Codisposal Upper'!$A$9:$BN$9,1),FALSE),0)+IFERROR(VLOOKUP($B24,'RA10-Codisposal Slopes'!$A$11:$BN$18,MATCH(Summary!G$1,'RA10-Codisposal Slopes'!$A$9:$BN$9,1),FALSE),0)+IFERROR(VLOOKUP($B24,'IA1-Final Void inc Ramps'!$A$11:$BN$18,MATCH(Summary!G$1,'IA1-Final Void inc Ramps'!$A$9:$BN$9,1),FALSE),0)</f>
        <v>0</v>
      </c>
      <c r="H24" s="51">
        <f>IFERROR(VLOOKUP($B24,'RA1- Elevated Dumps Upper'!$A$11:$BN$18,MATCH(Summary!H$1,'RA1- Elevated Dumps Upper'!$A$9:$BN$9,1),FALSE),0)+IFERROR(VLOOKUP($B24,'RA2-Elevated Dumps Slopes'!$A$11:$BN$18,MATCH(Summary!H$1,'RA2-Elevated Dumps Slopes'!$A$9:$BN$9,1),FALSE),0)+IFERROR(VLOOKUP($B24,'RA3-Backfilled Pits'!$A$11:$BN$18,MATCH(Summary!H$1,'RA3-Backfilled Pits'!$A$9:$BN$9,1),FALSE),0)+IFERROR(VLOOKUP($B24,'RA4-Tracks_Roads'!$A$11:$BN$18,MATCH(Summary!H$1,'RA4-Tracks_Roads'!$A$9:$BN$9,1),FALSE),0)+IFERROR(VLOOKUP($B24,'RA5-ROM'!$A$11:$BN$18,MATCH(Summary!H$1,'RA5-ROM'!$A$9:$BN$9,1),FALSE),0)+IFERROR(VLOOKUP($B24,'RA6-CHPP'!$A$11:$BN$18,MATCH(Summary!H$1,'RA6-CHPP'!$A$9:$BN$9,1),FALSE),0)+IFERROR(VLOOKUP($B24,'RA7-Mine Infrastructure Area'!$A$11:$BN$18,MATCH(Summary!H$1,'RA7-Mine Infrastructure Area'!$A$9:$BN$9,1),FALSE),0)+IFERROR(VLOOKUP($B24,'RA8-Water Management Structures'!$A$11:$BN$18,MATCH(Summary!H$1,'RA8-Water Management Structures'!$A$9:$BN$9,1),FALSE),0)+IFERROR(VLOOKUP($B24,'RA9-Codisposal Upper'!$A$11:$BN$18,MATCH(Summary!H$1,'RA9-Codisposal Upper'!$A$9:$BN$9,1),FALSE),0)+IFERROR(VLOOKUP($B24,'RA10-Codisposal Slopes'!$A$11:$BN$18,MATCH(Summary!H$1,'RA10-Codisposal Slopes'!$A$9:$BN$9,1),FALSE),0)+IFERROR(VLOOKUP($B24,'IA1-Final Void inc Ramps'!$A$11:$BN$18,MATCH(Summary!H$1,'IA1-Final Void inc Ramps'!$A$9:$BN$9,1),FALSE),0)</f>
        <v>0</v>
      </c>
      <c r="I24" s="51">
        <f>IFERROR(VLOOKUP($B24,'RA1- Elevated Dumps Upper'!$A$11:$BN$18,MATCH(Summary!I$1,'RA1- Elevated Dumps Upper'!$A$9:$BN$9,1),FALSE),0)+IFERROR(VLOOKUP($B24,'RA2-Elevated Dumps Slopes'!$A$11:$BN$18,MATCH(Summary!I$1,'RA2-Elevated Dumps Slopes'!$A$9:$BN$9,1),FALSE),0)+IFERROR(VLOOKUP($B24,'RA3-Backfilled Pits'!$A$11:$BN$18,MATCH(Summary!I$1,'RA3-Backfilled Pits'!$A$9:$BN$9,1),FALSE),0)+IFERROR(VLOOKUP($B24,'RA4-Tracks_Roads'!$A$11:$BN$18,MATCH(Summary!I$1,'RA4-Tracks_Roads'!$A$9:$BN$9,1),FALSE),0)+IFERROR(VLOOKUP($B24,'RA5-ROM'!$A$11:$BN$18,MATCH(Summary!I$1,'RA5-ROM'!$A$9:$BN$9,1),FALSE),0)+IFERROR(VLOOKUP($B24,'RA6-CHPP'!$A$11:$BN$18,MATCH(Summary!I$1,'RA6-CHPP'!$A$9:$BN$9,1),FALSE),0)+IFERROR(VLOOKUP($B24,'RA7-Mine Infrastructure Area'!$A$11:$BN$18,MATCH(Summary!I$1,'RA7-Mine Infrastructure Area'!$A$9:$BN$9,1),FALSE),0)+IFERROR(VLOOKUP($B24,'RA8-Water Management Structures'!$A$11:$BN$18,MATCH(Summary!I$1,'RA8-Water Management Structures'!$A$9:$BN$9,1),FALSE),0)+IFERROR(VLOOKUP($B24,'RA9-Codisposal Upper'!$A$11:$BN$18,MATCH(Summary!I$1,'RA9-Codisposal Upper'!$A$9:$BN$9,1),FALSE),0)+IFERROR(VLOOKUP($B24,'RA10-Codisposal Slopes'!$A$11:$BN$18,MATCH(Summary!I$1,'RA10-Codisposal Slopes'!$A$9:$BN$9,1),FALSE),0)+IFERROR(VLOOKUP($B24,'IA1-Final Void inc Ramps'!$A$11:$BN$18,MATCH(Summary!I$1,'IA1-Final Void inc Ramps'!$A$9:$BN$9,1),FALSE),0)</f>
        <v>0</v>
      </c>
      <c r="J24" s="51">
        <f>IFERROR(VLOOKUP($B24,'RA1- Elevated Dumps Upper'!$A$11:$BN$18,MATCH(Summary!J$1,'RA1- Elevated Dumps Upper'!$A$9:$BN$9,1),FALSE),0)+IFERROR(VLOOKUP($B24,'RA2-Elevated Dumps Slopes'!$A$11:$BN$18,MATCH(Summary!J$1,'RA2-Elevated Dumps Slopes'!$A$9:$BN$9,1),FALSE),0)+IFERROR(VLOOKUP($B24,'RA3-Backfilled Pits'!$A$11:$BN$18,MATCH(Summary!J$1,'RA3-Backfilled Pits'!$A$9:$BN$9,1),FALSE),0)+IFERROR(VLOOKUP($B24,'RA4-Tracks_Roads'!$A$11:$BN$18,MATCH(Summary!J$1,'RA4-Tracks_Roads'!$A$9:$BN$9,1),FALSE),0)+IFERROR(VLOOKUP($B24,'RA5-ROM'!$A$11:$BN$18,MATCH(Summary!J$1,'RA5-ROM'!$A$9:$BN$9,1),FALSE),0)+IFERROR(VLOOKUP($B24,'RA6-CHPP'!$A$11:$BN$18,MATCH(Summary!J$1,'RA6-CHPP'!$A$9:$BN$9,1),FALSE),0)+IFERROR(VLOOKUP($B24,'RA7-Mine Infrastructure Area'!$A$11:$BN$18,MATCH(Summary!J$1,'RA7-Mine Infrastructure Area'!$A$9:$BN$9,1),FALSE),0)+IFERROR(VLOOKUP($B24,'RA8-Water Management Structures'!$A$11:$BN$18,MATCH(Summary!J$1,'RA8-Water Management Structures'!$A$9:$BN$9,1),FALSE),0)+IFERROR(VLOOKUP($B24,'RA9-Codisposal Upper'!$A$11:$BN$18,MATCH(Summary!J$1,'RA9-Codisposal Upper'!$A$9:$BN$9,1),FALSE),0)+IFERROR(VLOOKUP($B24,'RA10-Codisposal Slopes'!$A$11:$BN$18,MATCH(Summary!J$1,'RA10-Codisposal Slopes'!$A$9:$BN$9,1),FALSE),0)+IFERROR(VLOOKUP($B24,'IA1-Final Void inc Ramps'!$A$11:$BN$18,MATCH(Summary!J$1,'IA1-Final Void inc Ramps'!$A$9:$BN$9,1),FALSE),0)</f>
        <v>0</v>
      </c>
      <c r="K24" s="51">
        <f>IFERROR(VLOOKUP($B24,'RA1- Elevated Dumps Upper'!$A$11:$BN$18,MATCH(Summary!K$1,'RA1- Elevated Dumps Upper'!$A$9:$BN$9,1),FALSE),0)+IFERROR(VLOOKUP($B24,'RA2-Elevated Dumps Slopes'!$A$11:$BN$18,MATCH(Summary!K$1,'RA2-Elevated Dumps Slopes'!$A$9:$BN$9,1),FALSE),0)+IFERROR(VLOOKUP($B24,'RA3-Backfilled Pits'!$A$11:$BN$18,MATCH(Summary!K$1,'RA3-Backfilled Pits'!$A$9:$BN$9,1),FALSE),0)+IFERROR(VLOOKUP($B24,'RA4-Tracks_Roads'!$A$11:$BN$18,MATCH(Summary!K$1,'RA4-Tracks_Roads'!$A$9:$BN$9,1),FALSE),0)+IFERROR(VLOOKUP($B24,'RA5-ROM'!$A$11:$BN$18,MATCH(Summary!K$1,'RA5-ROM'!$A$9:$BN$9,1),FALSE),0)+IFERROR(VLOOKUP($B24,'RA6-CHPP'!$A$11:$BN$18,MATCH(Summary!K$1,'RA6-CHPP'!$A$9:$BN$9,1),FALSE),0)+IFERROR(VLOOKUP($B24,'RA7-Mine Infrastructure Area'!$A$11:$BN$18,MATCH(Summary!K$1,'RA7-Mine Infrastructure Area'!$A$9:$BN$9,1),FALSE),0)+IFERROR(VLOOKUP($B24,'RA8-Water Management Structures'!$A$11:$BN$18,MATCH(Summary!K$1,'RA8-Water Management Structures'!$A$9:$BN$9,1),FALSE),0)+IFERROR(VLOOKUP($B24,'RA9-Codisposal Upper'!$A$11:$BN$18,MATCH(Summary!K$1,'RA9-Codisposal Upper'!$A$9:$BN$9,1),FALSE),0)+IFERROR(VLOOKUP($B24,'RA10-Codisposal Slopes'!$A$11:$BN$18,MATCH(Summary!K$1,'RA10-Codisposal Slopes'!$A$9:$BN$9,1),FALSE),0)+IFERROR(VLOOKUP($B24,'IA1-Final Void inc Ramps'!$A$11:$BN$18,MATCH(Summary!K$1,'IA1-Final Void inc Ramps'!$A$9:$BN$9,1),FALSE),0)</f>
        <v>0</v>
      </c>
      <c r="L24" s="51">
        <f>IFERROR(VLOOKUP($B24,'RA1- Elevated Dumps Upper'!$A$11:$BN$18,MATCH(Summary!L$1,'RA1- Elevated Dumps Upper'!$A$9:$BN$9,1),FALSE),0)+IFERROR(VLOOKUP($B24,'RA2-Elevated Dumps Slopes'!$A$11:$BN$18,MATCH(Summary!L$1,'RA2-Elevated Dumps Slopes'!$A$9:$BN$9,1),FALSE),0)+IFERROR(VLOOKUP($B24,'RA3-Backfilled Pits'!$A$11:$BN$18,MATCH(Summary!L$1,'RA3-Backfilled Pits'!$A$9:$BN$9,1),FALSE),0)+IFERROR(VLOOKUP($B24,'RA4-Tracks_Roads'!$A$11:$BN$18,MATCH(Summary!L$1,'RA4-Tracks_Roads'!$A$9:$BN$9,1),FALSE),0)+IFERROR(VLOOKUP($B24,'RA5-ROM'!$A$11:$BN$18,MATCH(Summary!L$1,'RA5-ROM'!$A$9:$BN$9,1),FALSE),0)+IFERROR(VLOOKUP($B24,'RA6-CHPP'!$A$11:$BN$18,MATCH(Summary!L$1,'RA6-CHPP'!$A$9:$BN$9,1),FALSE),0)+IFERROR(VLOOKUP($B24,'RA7-Mine Infrastructure Area'!$A$11:$BN$18,MATCH(Summary!L$1,'RA7-Mine Infrastructure Area'!$A$9:$BN$9,1),FALSE),0)+IFERROR(VLOOKUP($B24,'RA8-Water Management Structures'!$A$11:$BN$18,MATCH(Summary!L$1,'RA8-Water Management Structures'!$A$9:$BN$9,1),FALSE),0)+IFERROR(VLOOKUP($B24,'RA9-Codisposal Upper'!$A$11:$BN$18,MATCH(Summary!L$1,'RA9-Codisposal Upper'!$A$9:$BN$9,1),FALSE),0)+IFERROR(VLOOKUP($B24,'RA10-Codisposal Slopes'!$A$11:$BN$18,MATCH(Summary!L$1,'RA10-Codisposal Slopes'!$A$9:$BN$9,1),FALSE),0)+IFERROR(VLOOKUP($B24,'IA1-Final Void inc Ramps'!$A$11:$BN$18,MATCH(Summary!L$1,'IA1-Final Void inc Ramps'!$A$9:$BN$9,1),FALSE),0)</f>
        <v>0</v>
      </c>
      <c r="M24" s="51">
        <f>IFERROR(VLOOKUP($B24,'RA1- Elevated Dumps Upper'!$A$11:$BN$18,MATCH(Summary!M$1,'RA1- Elevated Dumps Upper'!$A$9:$BN$9,1),FALSE),0)+IFERROR(VLOOKUP($B24,'RA2-Elevated Dumps Slopes'!$A$11:$BN$18,MATCH(Summary!M$1,'RA2-Elevated Dumps Slopes'!$A$9:$BN$9,1),FALSE),0)+IFERROR(VLOOKUP($B24,'RA3-Backfilled Pits'!$A$11:$BN$18,MATCH(Summary!M$1,'RA3-Backfilled Pits'!$A$9:$BN$9,1),FALSE),0)+IFERROR(VLOOKUP($B24,'RA4-Tracks_Roads'!$A$11:$BN$18,MATCH(Summary!M$1,'RA4-Tracks_Roads'!$A$9:$BN$9,1),FALSE),0)+IFERROR(VLOOKUP($B24,'RA5-ROM'!$A$11:$BN$18,MATCH(Summary!M$1,'RA5-ROM'!$A$9:$BN$9,1),FALSE),0)+IFERROR(VLOOKUP($B24,'RA6-CHPP'!$A$11:$BN$18,MATCH(Summary!M$1,'RA6-CHPP'!$A$9:$BN$9,1),FALSE),0)+IFERROR(VLOOKUP($B24,'RA7-Mine Infrastructure Area'!$A$11:$BN$18,MATCH(Summary!M$1,'RA7-Mine Infrastructure Area'!$A$9:$BN$9,1),FALSE),0)+IFERROR(VLOOKUP($B24,'RA8-Water Management Structures'!$A$11:$BN$18,MATCH(Summary!M$1,'RA8-Water Management Structures'!$A$9:$BN$9,1),FALSE),0)+IFERROR(VLOOKUP($B24,'RA9-Codisposal Upper'!$A$11:$BN$18,MATCH(Summary!M$1,'RA9-Codisposal Upper'!$A$9:$BN$9,1),FALSE),0)+IFERROR(VLOOKUP($B24,'RA10-Codisposal Slopes'!$A$11:$BN$18,MATCH(Summary!M$1,'RA10-Codisposal Slopes'!$A$9:$BN$9,1),FALSE),0)+IFERROR(VLOOKUP($B24,'IA1-Final Void inc Ramps'!$A$11:$BN$18,MATCH(Summary!M$1,'IA1-Final Void inc Ramps'!$A$9:$BN$9,1),FALSE),0)</f>
        <v>0</v>
      </c>
      <c r="N24" s="51">
        <f>IFERROR(VLOOKUP($B24,'RA1- Elevated Dumps Upper'!$A$11:$BN$18,MATCH(Summary!N$1,'RA1- Elevated Dumps Upper'!$A$9:$BN$9,1),FALSE),0)+IFERROR(VLOOKUP($B24,'RA2-Elevated Dumps Slopes'!$A$11:$BN$18,MATCH(Summary!N$1,'RA2-Elevated Dumps Slopes'!$A$9:$BN$9,1),FALSE),0)+IFERROR(VLOOKUP($B24,'RA3-Backfilled Pits'!$A$11:$BN$18,MATCH(Summary!N$1,'RA3-Backfilled Pits'!$A$9:$BN$9,1),FALSE),0)+IFERROR(VLOOKUP($B24,'RA4-Tracks_Roads'!$A$11:$BN$18,MATCH(Summary!N$1,'RA4-Tracks_Roads'!$A$9:$BN$9,1),FALSE),0)+IFERROR(VLOOKUP($B24,'RA5-ROM'!$A$11:$BN$18,MATCH(Summary!N$1,'RA5-ROM'!$A$9:$BN$9,1),FALSE),0)+IFERROR(VLOOKUP($B24,'RA6-CHPP'!$A$11:$BN$18,MATCH(Summary!N$1,'RA6-CHPP'!$A$9:$BN$9,1),FALSE),0)+IFERROR(VLOOKUP($B24,'RA7-Mine Infrastructure Area'!$A$11:$BN$18,MATCH(Summary!N$1,'RA7-Mine Infrastructure Area'!$A$9:$BN$9,1),FALSE),0)+IFERROR(VLOOKUP($B24,'RA8-Water Management Structures'!$A$11:$BN$18,MATCH(Summary!N$1,'RA8-Water Management Structures'!$A$9:$BN$9,1),FALSE),0)+IFERROR(VLOOKUP($B24,'RA9-Codisposal Upper'!$A$11:$BN$18,MATCH(Summary!N$1,'RA9-Codisposal Upper'!$A$9:$BN$9,1),FALSE),0)+IFERROR(VLOOKUP($B24,'RA10-Codisposal Slopes'!$A$11:$BN$18,MATCH(Summary!N$1,'RA10-Codisposal Slopes'!$A$9:$BN$9,1),FALSE),0)+IFERROR(VLOOKUP($B24,'IA1-Final Void inc Ramps'!$A$11:$BN$18,MATCH(Summary!N$1,'IA1-Final Void inc Ramps'!$A$9:$BN$9,1),FALSE),0)</f>
        <v>0</v>
      </c>
      <c r="O24" s="51">
        <f>IFERROR(VLOOKUP($B24,'RA1- Elevated Dumps Upper'!$A$11:$BN$18,MATCH(Summary!O$1,'RA1- Elevated Dumps Upper'!$A$9:$BN$9,1),FALSE),0)+IFERROR(VLOOKUP($B24,'RA2-Elevated Dumps Slopes'!$A$11:$BN$18,MATCH(Summary!O$1,'RA2-Elevated Dumps Slopes'!$A$9:$BN$9,1),FALSE),0)+IFERROR(VLOOKUP($B24,'RA3-Backfilled Pits'!$A$11:$BN$18,MATCH(Summary!O$1,'RA3-Backfilled Pits'!$A$9:$BN$9,1),FALSE),0)+IFERROR(VLOOKUP($B24,'RA4-Tracks_Roads'!$A$11:$BN$18,MATCH(Summary!O$1,'RA4-Tracks_Roads'!$A$9:$BN$9,1),FALSE),0)+IFERROR(VLOOKUP($B24,'RA5-ROM'!$A$11:$BN$18,MATCH(Summary!O$1,'RA5-ROM'!$A$9:$BN$9,1),FALSE),0)+IFERROR(VLOOKUP($B24,'RA6-CHPP'!$A$11:$BN$18,MATCH(Summary!O$1,'RA6-CHPP'!$A$9:$BN$9,1),FALSE),0)+IFERROR(VLOOKUP($B24,'RA7-Mine Infrastructure Area'!$A$11:$BN$18,MATCH(Summary!O$1,'RA7-Mine Infrastructure Area'!$A$9:$BN$9,1),FALSE),0)+IFERROR(VLOOKUP($B24,'RA8-Water Management Structures'!$A$11:$BN$18,MATCH(Summary!O$1,'RA8-Water Management Structures'!$A$9:$BN$9,1),FALSE),0)+IFERROR(VLOOKUP($B24,'RA9-Codisposal Upper'!$A$11:$BN$18,MATCH(Summary!O$1,'RA9-Codisposal Upper'!$A$9:$BN$9,1),FALSE),0)+IFERROR(VLOOKUP($B24,'RA10-Codisposal Slopes'!$A$11:$BN$18,MATCH(Summary!O$1,'RA10-Codisposal Slopes'!$A$9:$BN$9,1),FALSE),0)+IFERROR(VLOOKUP($B24,'IA1-Final Void inc Ramps'!$A$11:$BN$18,MATCH(Summary!O$1,'IA1-Final Void inc Ramps'!$A$9:$BN$9,1),FALSE),0)</f>
        <v>0</v>
      </c>
      <c r="P24" s="51">
        <f>IFERROR(VLOOKUP($B24,'RA1- Elevated Dumps Upper'!$A$11:$BN$18,MATCH(Summary!P$1,'RA1- Elevated Dumps Upper'!$A$9:$BN$9,1),FALSE),0)+IFERROR(VLOOKUP($B24,'RA2-Elevated Dumps Slopes'!$A$11:$BN$18,MATCH(Summary!P$1,'RA2-Elevated Dumps Slopes'!$A$9:$BN$9,1),FALSE),0)+IFERROR(VLOOKUP($B24,'RA3-Backfilled Pits'!$A$11:$BN$18,MATCH(Summary!P$1,'RA3-Backfilled Pits'!$A$9:$BN$9,1),FALSE),0)+IFERROR(VLOOKUP($B24,'RA4-Tracks_Roads'!$A$11:$BN$18,MATCH(Summary!P$1,'RA4-Tracks_Roads'!$A$9:$BN$9,1),FALSE),0)+IFERROR(VLOOKUP($B24,'RA5-ROM'!$A$11:$BN$18,MATCH(Summary!P$1,'RA5-ROM'!$A$9:$BN$9,1),FALSE),0)+IFERROR(VLOOKUP($B24,'RA6-CHPP'!$A$11:$BN$18,MATCH(Summary!P$1,'RA6-CHPP'!$A$9:$BN$9,1),FALSE),0)+IFERROR(VLOOKUP($B24,'RA7-Mine Infrastructure Area'!$A$11:$BN$18,MATCH(Summary!P$1,'RA7-Mine Infrastructure Area'!$A$9:$BN$9,1),FALSE),0)+IFERROR(VLOOKUP($B24,'RA8-Water Management Structures'!$A$11:$BN$18,MATCH(Summary!P$1,'RA8-Water Management Structures'!$A$9:$BN$9,1),FALSE),0)+IFERROR(VLOOKUP($B24,'RA9-Codisposal Upper'!$A$11:$BN$18,MATCH(Summary!P$1,'RA9-Codisposal Upper'!$A$9:$BN$9,1),FALSE),0)+IFERROR(VLOOKUP($B24,'RA10-Codisposal Slopes'!$A$11:$BN$18,MATCH(Summary!P$1,'RA10-Codisposal Slopes'!$A$9:$BN$9,1),FALSE),0)+IFERROR(VLOOKUP($B24,'IA1-Final Void inc Ramps'!$A$11:$BN$18,MATCH(Summary!P$1,'IA1-Final Void inc Ramps'!$A$9:$BN$9,1),FALSE),0)</f>
        <v>0</v>
      </c>
      <c r="Q24" s="51">
        <f>IFERROR(VLOOKUP($B24,'RA1- Elevated Dumps Upper'!$A$11:$BN$18,MATCH(Summary!Q$1,'RA1- Elevated Dumps Upper'!$A$9:$BN$9,1),FALSE),0)+IFERROR(VLOOKUP($B24,'RA2-Elevated Dumps Slopes'!$A$11:$BN$18,MATCH(Summary!Q$1,'RA2-Elevated Dumps Slopes'!$A$9:$BN$9,1),FALSE),0)+IFERROR(VLOOKUP($B24,'RA3-Backfilled Pits'!$A$11:$BN$18,MATCH(Summary!Q$1,'RA3-Backfilled Pits'!$A$9:$BN$9,1),FALSE),0)+IFERROR(VLOOKUP($B24,'RA4-Tracks_Roads'!$A$11:$BN$18,MATCH(Summary!Q$1,'RA4-Tracks_Roads'!$A$9:$BN$9,1),FALSE),0)+IFERROR(VLOOKUP($B24,'RA5-ROM'!$A$11:$BN$18,MATCH(Summary!Q$1,'RA5-ROM'!$A$9:$BN$9,1),FALSE),0)+IFERROR(VLOOKUP($B24,'RA6-CHPP'!$A$11:$BN$18,MATCH(Summary!Q$1,'RA6-CHPP'!$A$9:$BN$9,1),FALSE),0)+IFERROR(VLOOKUP($B24,'RA7-Mine Infrastructure Area'!$A$11:$BN$18,MATCH(Summary!Q$1,'RA7-Mine Infrastructure Area'!$A$9:$BN$9,1),FALSE),0)+IFERROR(VLOOKUP($B24,'RA8-Water Management Structures'!$A$11:$BN$18,MATCH(Summary!Q$1,'RA8-Water Management Structures'!$A$9:$BN$9,1),FALSE),0)+IFERROR(VLOOKUP($B24,'RA9-Codisposal Upper'!$A$11:$BN$18,MATCH(Summary!Q$1,'RA9-Codisposal Upper'!$A$9:$BN$9,1),FALSE),0)+IFERROR(VLOOKUP($B24,'RA10-Codisposal Slopes'!$A$11:$BN$18,MATCH(Summary!Q$1,'RA10-Codisposal Slopes'!$A$9:$BN$9,1),FALSE),0)+IFERROR(VLOOKUP($B24,'IA1-Final Void inc Ramps'!$A$11:$BN$18,MATCH(Summary!Q$1,'IA1-Final Void inc Ramps'!$A$9:$BN$9,1),FALSE),0)</f>
        <v>0</v>
      </c>
      <c r="R24" s="51">
        <f>IFERROR(VLOOKUP($B24,'RA1- Elevated Dumps Upper'!$A$11:$BN$18,MATCH(Summary!R$1,'RA1- Elevated Dumps Upper'!$A$9:$BN$9,1),FALSE),0)+IFERROR(VLOOKUP($B24,'RA2-Elevated Dumps Slopes'!$A$11:$BN$18,MATCH(Summary!R$1,'RA2-Elevated Dumps Slopes'!$A$9:$BN$9,1),FALSE),0)+IFERROR(VLOOKUP($B24,'RA3-Backfilled Pits'!$A$11:$BN$18,MATCH(Summary!R$1,'RA3-Backfilled Pits'!$A$9:$BN$9,1),FALSE),0)+IFERROR(VLOOKUP($B24,'RA4-Tracks_Roads'!$A$11:$BN$18,MATCH(Summary!R$1,'RA4-Tracks_Roads'!$A$9:$BN$9,1),FALSE),0)+IFERROR(VLOOKUP($B24,'RA5-ROM'!$A$11:$BN$18,MATCH(Summary!R$1,'RA5-ROM'!$A$9:$BN$9,1),FALSE),0)+IFERROR(VLOOKUP($B24,'RA6-CHPP'!$A$11:$BN$18,MATCH(Summary!R$1,'RA6-CHPP'!$A$9:$BN$9,1),FALSE),0)+IFERROR(VLOOKUP($B24,'RA7-Mine Infrastructure Area'!$A$11:$BN$18,MATCH(Summary!R$1,'RA7-Mine Infrastructure Area'!$A$9:$BN$9,1),FALSE),0)+IFERROR(VLOOKUP($B24,'RA8-Water Management Structures'!$A$11:$BN$18,MATCH(Summary!R$1,'RA8-Water Management Structures'!$A$9:$BN$9,1),FALSE),0)+IFERROR(VLOOKUP($B24,'RA9-Codisposal Upper'!$A$11:$BN$18,MATCH(Summary!R$1,'RA9-Codisposal Upper'!$A$9:$BN$9,1),FALSE),0)+IFERROR(VLOOKUP($B24,'RA10-Codisposal Slopes'!$A$11:$BN$18,MATCH(Summary!R$1,'RA10-Codisposal Slopes'!$A$9:$BN$9,1),FALSE),0)+IFERROR(VLOOKUP($B24,'IA1-Final Void inc Ramps'!$A$11:$BN$18,MATCH(Summary!R$1,'IA1-Final Void inc Ramps'!$A$9:$BN$9,1),FALSE),0)</f>
        <v>0</v>
      </c>
      <c r="S24" s="51">
        <f>IFERROR(VLOOKUP($B24,'RA1- Elevated Dumps Upper'!$A$11:$BN$18,MATCH(Summary!S$1,'RA1- Elevated Dumps Upper'!$A$9:$BN$9,1),FALSE),0)+IFERROR(VLOOKUP($B24,'RA2-Elevated Dumps Slopes'!$A$11:$BN$18,MATCH(Summary!S$1,'RA2-Elevated Dumps Slopes'!$A$9:$BN$9,1),FALSE),0)+IFERROR(VLOOKUP($B24,'RA3-Backfilled Pits'!$A$11:$BN$18,MATCH(Summary!S$1,'RA3-Backfilled Pits'!$A$9:$BN$9,1),FALSE),0)+IFERROR(VLOOKUP($B24,'RA4-Tracks_Roads'!$A$11:$BN$18,MATCH(Summary!S$1,'RA4-Tracks_Roads'!$A$9:$BN$9,1),FALSE),0)+IFERROR(VLOOKUP($B24,'RA5-ROM'!$A$11:$BN$18,MATCH(Summary!S$1,'RA5-ROM'!$A$9:$BN$9,1),FALSE),0)+IFERROR(VLOOKUP($B24,'RA6-CHPP'!$A$11:$BN$18,MATCH(Summary!S$1,'RA6-CHPP'!$A$9:$BN$9,1),FALSE),0)+IFERROR(VLOOKUP($B24,'RA7-Mine Infrastructure Area'!$A$11:$BN$18,MATCH(Summary!S$1,'RA7-Mine Infrastructure Area'!$A$9:$BN$9,1),FALSE),0)+IFERROR(VLOOKUP($B24,'RA8-Water Management Structures'!$A$11:$BN$18,MATCH(Summary!S$1,'RA8-Water Management Structures'!$A$9:$BN$9,1),FALSE),0)+IFERROR(VLOOKUP($B24,'RA9-Codisposal Upper'!$A$11:$BN$18,MATCH(Summary!S$1,'RA9-Codisposal Upper'!$A$9:$BN$9,1),FALSE),0)+IFERROR(VLOOKUP($B24,'RA10-Codisposal Slopes'!$A$11:$BN$18,MATCH(Summary!S$1,'RA10-Codisposal Slopes'!$A$9:$BN$9,1),FALSE),0)+IFERROR(VLOOKUP($B24,'IA1-Final Void inc Ramps'!$A$11:$BN$18,MATCH(Summary!S$1,'IA1-Final Void inc Ramps'!$A$9:$BN$9,1),FALSE),0)</f>
        <v>0</v>
      </c>
      <c r="T24" s="51">
        <f>IFERROR(VLOOKUP($B24,'RA1- Elevated Dumps Upper'!$A$11:$BN$18,MATCH(Summary!T$1,'RA1- Elevated Dumps Upper'!$A$9:$BN$9,1),FALSE),0)+IFERROR(VLOOKUP($B24,'RA2-Elevated Dumps Slopes'!$A$11:$BN$18,MATCH(Summary!T$1,'RA2-Elevated Dumps Slopes'!$A$9:$BN$9,1),FALSE),0)+IFERROR(VLOOKUP($B24,'RA3-Backfilled Pits'!$A$11:$BN$18,MATCH(Summary!T$1,'RA3-Backfilled Pits'!$A$9:$BN$9,1),FALSE),0)+IFERROR(VLOOKUP($B24,'RA4-Tracks_Roads'!$A$11:$BN$18,MATCH(Summary!T$1,'RA4-Tracks_Roads'!$A$9:$BN$9,1),FALSE),0)+IFERROR(VLOOKUP($B24,'RA5-ROM'!$A$11:$BN$18,MATCH(Summary!T$1,'RA5-ROM'!$A$9:$BN$9,1),FALSE),0)+IFERROR(VLOOKUP($B24,'RA6-CHPP'!$A$11:$BN$18,MATCH(Summary!T$1,'RA6-CHPP'!$A$9:$BN$9,1),FALSE),0)+IFERROR(VLOOKUP($B24,'RA7-Mine Infrastructure Area'!$A$11:$BN$18,MATCH(Summary!T$1,'RA7-Mine Infrastructure Area'!$A$9:$BN$9,1),FALSE),0)+IFERROR(VLOOKUP($B24,'RA8-Water Management Structures'!$A$11:$BN$18,MATCH(Summary!T$1,'RA8-Water Management Structures'!$A$9:$BN$9,1),FALSE),0)+IFERROR(VLOOKUP($B24,'RA9-Codisposal Upper'!$A$11:$BN$18,MATCH(Summary!T$1,'RA9-Codisposal Upper'!$A$9:$BN$9,1),FALSE),0)+IFERROR(VLOOKUP($B24,'RA10-Codisposal Slopes'!$A$11:$BN$18,MATCH(Summary!T$1,'RA10-Codisposal Slopes'!$A$9:$BN$9,1),FALSE),0)+IFERROR(VLOOKUP($B24,'IA1-Final Void inc Ramps'!$A$11:$BN$18,MATCH(Summary!T$1,'IA1-Final Void inc Ramps'!$A$9:$BN$9,1),FALSE),0)</f>
        <v>0</v>
      </c>
      <c r="U24" s="51">
        <f>IFERROR(VLOOKUP($B24,'RA1- Elevated Dumps Upper'!$A$11:$BN$18,MATCH(Summary!U$1,'RA1- Elevated Dumps Upper'!$A$9:$BN$9,1),FALSE),0)+IFERROR(VLOOKUP($B24,'RA2-Elevated Dumps Slopes'!$A$11:$BN$18,MATCH(Summary!U$1,'RA2-Elevated Dumps Slopes'!$A$9:$BN$9,1),FALSE),0)+IFERROR(VLOOKUP($B24,'RA3-Backfilled Pits'!$A$11:$BN$18,MATCH(Summary!U$1,'RA3-Backfilled Pits'!$A$9:$BN$9,1),FALSE),0)+IFERROR(VLOOKUP($B24,'RA4-Tracks_Roads'!$A$11:$BN$18,MATCH(Summary!U$1,'RA4-Tracks_Roads'!$A$9:$BN$9,1),FALSE),0)+IFERROR(VLOOKUP($B24,'RA5-ROM'!$A$11:$BN$18,MATCH(Summary!U$1,'RA5-ROM'!$A$9:$BN$9,1),FALSE),0)+IFERROR(VLOOKUP($B24,'RA6-CHPP'!$A$11:$BN$18,MATCH(Summary!U$1,'RA6-CHPP'!$A$9:$BN$9,1),FALSE),0)+IFERROR(VLOOKUP($B24,'RA7-Mine Infrastructure Area'!$A$11:$BN$18,MATCH(Summary!U$1,'RA7-Mine Infrastructure Area'!$A$9:$BN$9,1),FALSE),0)+IFERROR(VLOOKUP($B24,'RA8-Water Management Structures'!$A$11:$BN$18,MATCH(Summary!U$1,'RA8-Water Management Structures'!$A$9:$BN$9,1),FALSE),0)+IFERROR(VLOOKUP($B24,'RA9-Codisposal Upper'!$A$11:$BN$18,MATCH(Summary!U$1,'RA9-Codisposal Upper'!$A$9:$BN$9,1),FALSE),0)+IFERROR(VLOOKUP($B24,'RA10-Codisposal Slopes'!$A$11:$BN$18,MATCH(Summary!U$1,'RA10-Codisposal Slopes'!$A$9:$BN$9,1),FALSE),0)+IFERROR(VLOOKUP($B24,'IA1-Final Void inc Ramps'!$A$11:$BN$18,MATCH(Summary!U$1,'IA1-Final Void inc Ramps'!$A$9:$BN$9,1),FALSE),0)</f>
        <v>0</v>
      </c>
      <c r="V24" s="51">
        <f>IFERROR(VLOOKUP($B24,'RA1- Elevated Dumps Upper'!$A$11:$BN$18,MATCH(Summary!V$1,'RA1- Elevated Dumps Upper'!$A$9:$BN$9,1),FALSE),0)+IFERROR(VLOOKUP($B24,'RA2-Elevated Dumps Slopes'!$A$11:$BN$18,MATCH(Summary!V$1,'RA2-Elevated Dumps Slopes'!$A$9:$BN$9,1),FALSE),0)+IFERROR(VLOOKUP($B24,'RA3-Backfilled Pits'!$A$11:$BN$18,MATCH(Summary!V$1,'RA3-Backfilled Pits'!$A$9:$BN$9,1),FALSE),0)+IFERROR(VLOOKUP($B24,'RA4-Tracks_Roads'!$A$11:$BN$18,MATCH(Summary!V$1,'RA4-Tracks_Roads'!$A$9:$BN$9,1),FALSE),0)+IFERROR(VLOOKUP($B24,'RA5-ROM'!$A$11:$BN$18,MATCH(Summary!V$1,'RA5-ROM'!$A$9:$BN$9,1),FALSE),0)+IFERROR(VLOOKUP($B24,'RA6-CHPP'!$A$11:$BN$18,MATCH(Summary!V$1,'RA6-CHPP'!$A$9:$BN$9,1),FALSE),0)+IFERROR(VLOOKUP($B24,'RA7-Mine Infrastructure Area'!$A$11:$BN$18,MATCH(Summary!V$1,'RA7-Mine Infrastructure Area'!$A$9:$BN$9,1),FALSE),0)+IFERROR(VLOOKUP($B24,'RA8-Water Management Structures'!$A$11:$BN$18,MATCH(Summary!V$1,'RA8-Water Management Structures'!$A$9:$BN$9,1),FALSE),0)+IFERROR(VLOOKUP($B24,'RA9-Codisposal Upper'!$A$11:$BN$18,MATCH(Summary!V$1,'RA9-Codisposal Upper'!$A$9:$BN$9,1),FALSE),0)+IFERROR(VLOOKUP($B24,'RA10-Codisposal Slopes'!$A$11:$BN$18,MATCH(Summary!V$1,'RA10-Codisposal Slopes'!$A$9:$BN$9,1),FALSE),0)+IFERROR(VLOOKUP($B24,'IA1-Final Void inc Ramps'!$A$11:$BN$18,MATCH(Summary!V$1,'IA1-Final Void inc Ramps'!$A$9:$BN$9,1),FALSE),0)</f>
        <v>0</v>
      </c>
      <c r="W24" s="51">
        <f>IFERROR(VLOOKUP($B24,'RA1- Elevated Dumps Upper'!$A$11:$BN$18,MATCH(Summary!W$1,'RA1- Elevated Dumps Upper'!$A$9:$BN$9,1),FALSE),0)+IFERROR(VLOOKUP($B24,'RA2-Elevated Dumps Slopes'!$A$11:$BN$18,MATCH(Summary!W$1,'RA2-Elevated Dumps Slopes'!$A$9:$BN$9,1),FALSE),0)+IFERROR(VLOOKUP($B24,'RA3-Backfilled Pits'!$A$11:$BN$18,MATCH(Summary!W$1,'RA3-Backfilled Pits'!$A$9:$BN$9,1),FALSE),0)+IFERROR(VLOOKUP($B24,'RA4-Tracks_Roads'!$A$11:$BN$18,MATCH(Summary!W$1,'RA4-Tracks_Roads'!$A$9:$BN$9,1),FALSE),0)+IFERROR(VLOOKUP($B24,'RA5-ROM'!$A$11:$BN$18,MATCH(Summary!W$1,'RA5-ROM'!$A$9:$BN$9,1),FALSE),0)+IFERROR(VLOOKUP($B24,'RA6-CHPP'!$A$11:$BN$18,MATCH(Summary!W$1,'RA6-CHPP'!$A$9:$BN$9,1),FALSE),0)+IFERROR(VLOOKUP($B24,'RA7-Mine Infrastructure Area'!$A$11:$BN$18,MATCH(Summary!W$1,'RA7-Mine Infrastructure Area'!$A$9:$BN$9,1),FALSE),0)+IFERROR(VLOOKUP($B24,'RA8-Water Management Structures'!$A$11:$BN$18,MATCH(Summary!W$1,'RA8-Water Management Structures'!$A$9:$BN$9,1),FALSE),0)+IFERROR(VLOOKUP($B24,'RA9-Codisposal Upper'!$A$11:$BN$18,MATCH(Summary!W$1,'RA9-Codisposal Upper'!$A$9:$BN$9,1),FALSE),0)+IFERROR(VLOOKUP($B24,'RA10-Codisposal Slopes'!$A$11:$BN$18,MATCH(Summary!W$1,'RA10-Codisposal Slopes'!$A$9:$BN$9,1),FALSE),0)+IFERROR(VLOOKUP($B24,'IA1-Final Void inc Ramps'!$A$11:$BN$18,MATCH(Summary!W$1,'IA1-Final Void inc Ramps'!$A$9:$BN$9,1),FALSE),0)</f>
        <v>0</v>
      </c>
      <c r="X24" s="51">
        <f>IFERROR(VLOOKUP($B24,'RA1- Elevated Dumps Upper'!$A$11:$BN$18,MATCH(Summary!X$1,'RA1- Elevated Dumps Upper'!$A$9:$BN$9,1),FALSE),0)+IFERROR(VLOOKUP($B24,'RA2-Elevated Dumps Slopes'!$A$11:$BN$18,MATCH(Summary!X$1,'RA2-Elevated Dumps Slopes'!$A$9:$BN$9,1),FALSE),0)+IFERROR(VLOOKUP($B24,'RA3-Backfilled Pits'!$A$11:$BN$18,MATCH(Summary!X$1,'RA3-Backfilled Pits'!$A$9:$BN$9,1),FALSE),0)+IFERROR(VLOOKUP($B24,'RA4-Tracks_Roads'!$A$11:$BN$18,MATCH(Summary!X$1,'RA4-Tracks_Roads'!$A$9:$BN$9,1),FALSE),0)+IFERROR(VLOOKUP($B24,'RA5-ROM'!$A$11:$BN$18,MATCH(Summary!X$1,'RA5-ROM'!$A$9:$BN$9,1),FALSE),0)+IFERROR(VLOOKUP($B24,'RA6-CHPP'!$A$11:$BN$18,MATCH(Summary!X$1,'RA6-CHPP'!$A$9:$BN$9,1),FALSE),0)+IFERROR(VLOOKUP($B24,'RA7-Mine Infrastructure Area'!$A$11:$BN$18,MATCH(Summary!X$1,'RA7-Mine Infrastructure Area'!$A$9:$BN$9,1),FALSE),0)+IFERROR(VLOOKUP($B24,'RA8-Water Management Structures'!$A$11:$BN$18,MATCH(Summary!X$1,'RA8-Water Management Structures'!$A$9:$BN$9,1),FALSE),0)+IFERROR(VLOOKUP($B24,'RA9-Codisposal Upper'!$A$11:$BN$18,MATCH(Summary!X$1,'RA9-Codisposal Upper'!$A$9:$BN$9,1),FALSE),0)+IFERROR(VLOOKUP($B24,'RA10-Codisposal Slopes'!$A$11:$BN$18,MATCH(Summary!X$1,'RA10-Codisposal Slopes'!$A$9:$BN$9,1),FALSE),0)+IFERROR(VLOOKUP($B24,'IA1-Final Void inc Ramps'!$A$11:$BN$18,MATCH(Summary!X$1,'IA1-Final Void inc Ramps'!$A$9:$BN$9,1),FALSE),0)</f>
        <v>0</v>
      </c>
      <c r="Y24" s="51">
        <f>IFERROR(VLOOKUP($B24,'RA1- Elevated Dumps Upper'!$A$11:$BN$18,MATCH(Summary!Y$1,'RA1- Elevated Dumps Upper'!$A$9:$BN$9,1),FALSE),0)+IFERROR(VLOOKUP($B24,'RA2-Elevated Dumps Slopes'!$A$11:$BN$18,MATCH(Summary!Y$1,'RA2-Elevated Dumps Slopes'!$A$9:$BN$9,1),FALSE),0)+IFERROR(VLOOKUP($B24,'RA3-Backfilled Pits'!$A$11:$BN$18,MATCH(Summary!Y$1,'RA3-Backfilled Pits'!$A$9:$BN$9,1),FALSE),0)+IFERROR(VLOOKUP($B24,'RA4-Tracks_Roads'!$A$11:$BN$18,MATCH(Summary!Y$1,'RA4-Tracks_Roads'!$A$9:$BN$9,1),FALSE),0)+IFERROR(VLOOKUP($B24,'RA5-ROM'!$A$11:$BN$18,MATCH(Summary!Y$1,'RA5-ROM'!$A$9:$BN$9,1),FALSE),0)+IFERROR(VLOOKUP($B24,'RA6-CHPP'!$A$11:$BN$18,MATCH(Summary!Y$1,'RA6-CHPP'!$A$9:$BN$9,1),FALSE),0)+IFERROR(VLOOKUP($B24,'RA7-Mine Infrastructure Area'!$A$11:$BN$18,MATCH(Summary!Y$1,'RA7-Mine Infrastructure Area'!$A$9:$BN$9,1),FALSE),0)+IFERROR(VLOOKUP($B24,'RA8-Water Management Structures'!$A$11:$BN$18,MATCH(Summary!Y$1,'RA8-Water Management Structures'!$A$9:$BN$9,1),FALSE),0)+IFERROR(VLOOKUP($B24,'RA9-Codisposal Upper'!$A$11:$BN$18,MATCH(Summary!Y$1,'RA9-Codisposal Upper'!$A$9:$BN$9,1),FALSE),0)+IFERROR(VLOOKUP($B24,'RA10-Codisposal Slopes'!$A$11:$BN$18,MATCH(Summary!Y$1,'RA10-Codisposal Slopes'!$A$9:$BN$9,1),FALSE),0)+IFERROR(VLOOKUP($B24,'IA1-Final Void inc Ramps'!$A$11:$BN$18,MATCH(Summary!Y$1,'IA1-Final Void inc Ramps'!$A$9:$BN$9,1),FALSE),0)</f>
        <v>0</v>
      </c>
      <c r="Z24" s="51">
        <f>IFERROR(VLOOKUP($B24,'RA1- Elevated Dumps Upper'!$A$11:$BN$18,MATCH(Summary!Z$1,'RA1- Elevated Dumps Upper'!$A$9:$BN$9,1),FALSE),0)+IFERROR(VLOOKUP($B24,'RA2-Elevated Dumps Slopes'!$A$11:$BN$18,MATCH(Summary!Z$1,'RA2-Elevated Dumps Slopes'!$A$9:$BN$9,1),FALSE),0)+IFERROR(VLOOKUP($B24,'RA3-Backfilled Pits'!$A$11:$BN$18,MATCH(Summary!Z$1,'RA3-Backfilled Pits'!$A$9:$BN$9,1),FALSE),0)+IFERROR(VLOOKUP($B24,'RA4-Tracks_Roads'!$A$11:$BN$18,MATCH(Summary!Z$1,'RA4-Tracks_Roads'!$A$9:$BN$9,1),FALSE),0)+IFERROR(VLOOKUP($B24,'RA5-ROM'!$A$11:$BN$18,MATCH(Summary!Z$1,'RA5-ROM'!$A$9:$BN$9,1),FALSE),0)+IFERROR(VLOOKUP($B24,'RA6-CHPP'!$A$11:$BN$18,MATCH(Summary!Z$1,'RA6-CHPP'!$A$9:$BN$9,1),FALSE),0)+IFERROR(VLOOKUP($B24,'RA7-Mine Infrastructure Area'!$A$11:$BN$18,MATCH(Summary!Z$1,'RA7-Mine Infrastructure Area'!$A$9:$BN$9,1),FALSE),0)+IFERROR(VLOOKUP($B24,'RA8-Water Management Structures'!$A$11:$BN$18,MATCH(Summary!Z$1,'RA8-Water Management Structures'!$A$9:$BN$9,1),FALSE),0)+IFERROR(VLOOKUP($B24,'RA9-Codisposal Upper'!$A$11:$BN$18,MATCH(Summary!Z$1,'RA9-Codisposal Upper'!$A$9:$BN$9,1),FALSE),0)+IFERROR(VLOOKUP($B24,'RA10-Codisposal Slopes'!$A$11:$BN$18,MATCH(Summary!Z$1,'RA10-Codisposal Slopes'!$A$9:$BN$9,1),FALSE),0)+IFERROR(VLOOKUP($B24,'IA1-Final Void inc Ramps'!$A$11:$BN$18,MATCH(Summary!Z$1,'IA1-Final Void inc Ramps'!$A$9:$BN$9,1),FALSE),0)</f>
        <v>0</v>
      </c>
      <c r="AA24" s="51">
        <f>IFERROR(VLOOKUP($B24,'RA1- Elevated Dumps Upper'!$A$11:$BN$18,MATCH(Summary!AA$1,'RA1- Elevated Dumps Upper'!$A$9:$BN$9,1),FALSE),0)+IFERROR(VLOOKUP($B24,'RA2-Elevated Dumps Slopes'!$A$11:$BN$18,MATCH(Summary!AA$1,'RA2-Elevated Dumps Slopes'!$A$9:$BN$9,1),FALSE),0)+IFERROR(VLOOKUP($B24,'RA3-Backfilled Pits'!$A$11:$BN$18,MATCH(Summary!AA$1,'RA3-Backfilled Pits'!$A$9:$BN$9,1),FALSE),0)+IFERROR(VLOOKUP($B24,'RA4-Tracks_Roads'!$A$11:$BN$18,MATCH(Summary!AA$1,'RA4-Tracks_Roads'!$A$9:$BN$9,1),FALSE),0)+IFERROR(VLOOKUP($B24,'RA5-ROM'!$A$11:$BN$18,MATCH(Summary!AA$1,'RA5-ROM'!$A$9:$BN$9,1),FALSE),0)+IFERROR(VLOOKUP($B24,'RA6-CHPP'!$A$11:$BN$18,MATCH(Summary!AA$1,'RA6-CHPP'!$A$9:$BN$9,1),FALSE),0)+IFERROR(VLOOKUP($B24,'RA7-Mine Infrastructure Area'!$A$11:$BN$18,MATCH(Summary!AA$1,'RA7-Mine Infrastructure Area'!$A$9:$BN$9,1),FALSE),0)+IFERROR(VLOOKUP($B24,'RA8-Water Management Structures'!$A$11:$BN$18,MATCH(Summary!AA$1,'RA8-Water Management Structures'!$A$9:$BN$9,1),FALSE),0)+IFERROR(VLOOKUP($B24,'RA9-Codisposal Upper'!$A$11:$BN$18,MATCH(Summary!AA$1,'RA9-Codisposal Upper'!$A$9:$BN$9,1),FALSE),0)+IFERROR(VLOOKUP($B24,'RA10-Codisposal Slopes'!$A$11:$BN$18,MATCH(Summary!AA$1,'RA10-Codisposal Slopes'!$A$9:$BN$9,1),FALSE),0)+IFERROR(VLOOKUP($B24,'IA1-Final Void inc Ramps'!$A$11:$BN$18,MATCH(Summary!AA$1,'IA1-Final Void inc Ramps'!$A$9:$BN$9,1),FALSE),0)</f>
        <v>0</v>
      </c>
      <c r="AB24" s="51">
        <f>IFERROR(VLOOKUP($B24,'RA1- Elevated Dumps Upper'!$A$11:$BN$18,MATCH(Summary!AB$1,'RA1- Elevated Dumps Upper'!$A$9:$BN$9,1),FALSE),0)+IFERROR(VLOOKUP($B24,'RA2-Elevated Dumps Slopes'!$A$11:$BN$18,MATCH(Summary!AB$1,'RA2-Elevated Dumps Slopes'!$A$9:$BN$9,1),FALSE),0)+IFERROR(VLOOKUP($B24,'RA3-Backfilled Pits'!$A$11:$BN$18,MATCH(Summary!AB$1,'RA3-Backfilled Pits'!$A$9:$BN$9,1),FALSE),0)+IFERROR(VLOOKUP($B24,'RA4-Tracks_Roads'!$A$11:$BN$18,MATCH(Summary!AB$1,'RA4-Tracks_Roads'!$A$9:$BN$9,1),FALSE),0)+IFERROR(VLOOKUP($B24,'RA5-ROM'!$A$11:$BN$18,MATCH(Summary!AB$1,'RA5-ROM'!$A$9:$BN$9,1),FALSE),0)+IFERROR(VLOOKUP($B24,'RA6-CHPP'!$A$11:$BN$18,MATCH(Summary!AB$1,'RA6-CHPP'!$A$9:$BN$9,1),FALSE),0)+IFERROR(VLOOKUP($B24,'RA7-Mine Infrastructure Area'!$A$11:$BN$18,MATCH(Summary!AB$1,'RA7-Mine Infrastructure Area'!$A$9:$BN$9,1),FALSE),0)+IFERROR(VLOOKUP($B24,'RA8-Water Management Structures'!$A$11:$BN$18,MATCH(Summary!AB$1,'RA8-Water Management Structures'!$A$9:$BN$9,1),FALSE),0)+IFERROR(VLOOKUP($B24,'RA9-Codisposal Upper'!$A$11:$BN$18,MATCH(Summary!AB$1,'RA9-Codisposal Upper'!$A$9:$BN$9,1),FALSE),0)+IFERROR(VLOOKUP($B24,'RA10-Codisposal Slopes'!$A$11:$BN$18,MATCH(Summary!AB$1,'RA10-Codisposal Slopes'!$A$9:$BN$9,1),FALSE),0)+IFERROR(VLOOKUP($B24,'IA1-Final Void inc Ramps'!$A$11:$BN$18,MATCH(Summary!AB$1,'IA1-Final Void inc Ramps'!$A$9:$BN$9,1),FALSE),0)</f>
        <v>0</v>
      </c>
      <c r="AC24" s="51">
        <f>IFERROR(VLOOKUP($B24,'RA1- Elevated Dumps Upper'!$A$11:$BN$18,MATCH(Summary!AC$1,'RA1- Elevated Dumps Upper'!$A$9:$BN$9,1),FALSE),0)+IFERROR(VLOOKUP($B24,'RA2-Elevated Dumps Slopes'!$A$11:$BN$18,MATCH(Summary!AC$1,'RA2-Elevated Dumps Slopes'!$A$9:$BN$9,1),FALSE),0)+IFERROR(VLOOKUP($B24,'RA3-Backfilled Pits'!$A$11:$BN$18,MATCH(Summary!AC$1,'RA3-Backfilled Pits'!$A$9:$BN$9,1),FALSE),0)+IFERROR(VLOOKUP($B24,'RA4-Tracks_Roads'!$A$11:$BN$18,MATCH(Summary!AC$1,'RA4-Tracks_Roads'!$A$9:$BN$9,1),FALSE),0)+IFERROR(VLOOKUP($B24,'RA5-ROM'!$A$11:$BN$18,MATCH(Summary!AC$1,'RA5-ROM'!$A$9:$BN$9,1),FALSE),0)+IFERROR(VLOOKUP($B24,'RA6-CHPP'!$A$11:$BN$18,MATCH(Summary!AC$1,'RA6-CHPP'!$A$9:$BN$9,1),FALSE),0)+IFERROR(VLOOKUP($B24,'RA7-Mine Infrastructure Area'!$A$11:$BN$18,MATCH(Summary!AC$1,'RA7-Mine Infrastructure Area'!$A$9:$BN$9,1),FALSE),0)+IFERROR(VLOOKUP($B24,'RA8-Water Management Structures'!$A$11:$BN$18,MATCH(Summary!AC$1,'RA8-Water Management Structures'!$A$9:$BN$9,1),FALSE),0)+IFERROR(VLOOKUP($B24,'RA9-Codisposal Upper'!$A$11:$BN$18,MATCH(Summary!AC$1,'RA9-Codisposal Upper'!$A$9:$BN$9,1),FALSE),0)+IFERROR(VLOOKUP($B24,'RA10-Codisposal Slopes'!$A$11:$BN$18,MATCH(Summary!AC$1,'RA10-Codisposal Slopes'!$A$9:$BN$9,1),FALSE),0)+IFERROR(VLOOKUP($B24,'IA1-Final Void inc Ramps'!$A$11:$BN$18,MATCH(Summary!AC$1,'IA1-Final Void inc Ramps'!$A$9:$BN$9,1),FALSE),0)</f>
        <v>0</v>
      </c>
      <c r="AD24" s="51">
        <f>IFERROR(VLOOKUP($B24,'RA1- Elevated Dumps Upper'!$A$11:$BN$18,MATCH(Summary!AD$1,'RA1- Elevated Dumps Upper'!$A$9:$BN$9,1),FALSE),0)+IFERROR(VLOOKUP($B24,'RA2-Elevated Dumps Slopes'!$A$11:$BN$18,MATCH(Summary!AD$1,'RA2-Elevated Dumps Slopes'!$A$9:$BN$9,1),FALSE),0)+IFERROR(VLOOKUP($B24,'RA3-Backfilled Pits'!$A$11:$BN$18,MATCH(Summary!AD$1,'RA3-Backfilled Pits'!$A$9:$BN$9,1),FALSE),0)+IFERROR(VLOOKUP($B24,'RA4-Tracks_Roads'!$A$11:$BN$18,MATCH(Summary!AD$1,'RA4-Tracks_Roads'!$A$9:$BN$9,1),FALSE),0)+IFERROR(VLOOKUP($B24,'RA5-ROM'!$A$11:$BN$18,MATCH(Summary!AD$1,'RA5-ROM'!$A$9:$BN$9,1),FALSE),0)+IFERROR(VLOOKUP($B24,'RA6-CHPP'!$A$11:$BN$18,MATCH(Summary!AD$1,'RA6-CHPP'!$A$9:$BN$9,1),FALSE),0)+IFERROR(VLOOKUP($B24,'RA7-Mine Infrastructure Area'!$A$11:$BN$18,MATCH(Summary!AD$1,'RA7-Mine Infrastructure Area'!$A$9:$BN$9,1),FALSE),0)+IFERROR(VLOOKUP($B24,'RA8-Water Management Structures'!$A$11:$BN$18,MATCH(Summary!AD$1,'RA8-Water Management Structures'!$A$9:$BN$9,1),FALSE),0)+IFERROR(VLOOKUP($B24,'RA9-Codisposal Upper'!$A$11:$BN$18,MATCH(Summary!AD$1,'RA9-Codisposal Upper'!$A$9:$BN$9,1),FALSE),0)+IFERROR(VLOOKUP($B24,'RA10-Codisposal Slopes'!$A$11:$BN$18,MATCH(Summary!AD$1,'RA10-Codisposal Slopes'!$A$9:$BN$9,1),FALSE),0)+IFERROR(VLOOKUP($B24,'IA1-Final Void inc Ramps'!$A$11:$BN$18,MATCH(Summary!AD$1,'IA1-Final Void inc Ramps'!$A$9:$BN$9,1),FALSE),0)</f>
        <v>0</v>
      </c>
      <c r="AE24" s="51">
        <f>IFERROR(VLOOKUP($B24,'RA1- Elevated Dumps Upper'!$A$11:$BN$18,MATCH(Summary!AE$1,'RA1- Elevated Dumps Upper'!$A$9:$BN$9,1),FALSE),0)+IFERROR(VLOOKUP($B24,'RA2-Elevated Dumps Slopes'!$A$11:$BN$18,MATCH(Summary!AE$1,'RA2-Elevated Dumps Slopes'!$A$9:$BN$9,1),FALSE),0)+IFERROR(VLOOKUP($B24,'RA3-Backfilled Pits'!$A$11:$BN$18,MATCH(Summary!AE$1,'RA3-Backfilled Pits'!$A$9:$BN$9,1),FALSE),0)+IFERROR(VLOOKUP($B24,'RA4-Tracks_Roads'!$A$11:$BN$18,MATCH(Summary!AE$1,'RA4-Tracks_Roads'!$A$9:$BN$9,1),FALSE),0)+IFERROR(VLOOKUP($B24,'RA5-ROM'!$A$11:$BN$18,MATCH(Summary!AE$1,'RA5-ROM'!$A$9:$BN$9,1),FALSE),0)+IFERROR(VLOOKUP($B24,'RA6-CHPP'!$A$11:$BN$18,MATCH(Summary!AE$1,'RA6-CHPP'!$A$9:$BN$9,1),FALSE),0)+IFERROR(VLOOKUP($B24,'RA7-Mine Infrastructure Area'!$A$11:$BN$18,MATCH(Summary!AE$1,'RA7-Mine Infrastructure Area'!$A$9:$BN$9,1),FALSE),0)+IFERROR(VLOOKUP($B24,'RA8-Water Management Structures'!$A$11:$BN$18,MATCH(Summary!AE$1,'RA8-Water Management Structures'!$A$9:$BN$9,1),FALSE),0)+IFERROR(VLOOKUP($B24,'RA9-Codisposal Upper'!$A$11:$BN$18,MATCH(Summary!AE$1,'RA9-Codisposal Upper'!$A$9:$BN$9,1),FALSE),0)+IFERROR(VLOOKUP($B24,'RA10-Codisposal Slopes'!$A$11:$BN$18,MATCH(Summary!AE$1,'RA10-Codisposal Slopes'!$A$9:$BN$9,1),FALSE),0)+IFERROR(VLOOKUP($B24,'IA1-Final Void inc Ramps'!$A$11:$BN$18,MATCH(Summary!AE$1,'IA1-Final Void inc Ramps'!$A$9:$BN$9,1),FALSE),0)</f>
        <v>171.6</v>
      </c>
      <c r="AF24" s="51">
        <f>IFERROR(VLOOKUP($B24,'RA1- Elevated Dumps Upper'!$A$11:$BN$18,MATCH(Summary!AF$1,'RA1- Elevated Dumps Upper'!$A$9:$BN$9,1),FALSE),0)+IFERROR(VLOOKUP($B24,'RA2-Elevated Dumps Slopes'!$A$11:$BN$18,MATCH(Summary!AF$1,'RA2-Elevated Dumps Slopes'!$A$9:$BN$9,1),FALSE),0)+IFERROR(VLOOKUP($B24,'RA3-Backfilled Pits'!$A$11:$BN$18,MATCH(Summary!AF$1,'RA3-Backfilled Pits'!$A$9:$BN$9,1),FALSE),0)+IFERROR(VLOOKUP($B24,'RA4-Tracks_Roads'!$A$11:$BN$18,MATCH(Summary!AF$1,'RA4-Tracks_Roads'!$A$9:$BN$9,1),FALSE),0)+IFERROR(VLOOKUP($B24,'RA5-ROM'!$A$11:$BN$18,MATCH(Summary!AF$1,'RA5-ROM'!$A$9:$BN$9,1),FALSE),0)+IFERROR(VLOOKUP($B24,'RA6-CHPP'!$A$11:$BN$18,MATCH(Summary!AF$1,'RA6-CHPP'!$A$9:$BN$9,1),FALSE),0)+IFERROR(VLOOKUP($B24,'RA7-Mine Infrastructure Area'!$A$11:$BN$18,MATCH(Summary!AF$1,'RA7-Mine Infrastructure Area'!$A$9:$BN$9,1),FALSE),0)+IFERROR(VLOOKUP($B24,'RA8-Water Management Structures'!$A$11:$BN$18,MATCH(Summary!AF$1,'RA8-Water Management Structures'!$A$9:$BN$9,1),FALSE),0)+IFERROR(VLOOKUP($B24,'RA9-Codisposal Upper'!$A$11:$BN$18,MATCH(Summary!AF$1,'RA9-Codisposal Upper'!$A$9:$BN$9,1),FALSE),0)+IFERROR(VLOOKUP($B24,'RA10-Codisposal Slopes'!$A$11:$BN$18,MATCH(Summary!AF$1,'RA10-Codisposal Slopes'!$A$9:$BN$9,1),FALSE),0)+IFERROR(VLOOKUP($B24,'IA1-Final Void inc Ramps'!$A$11:$BN$18,MATCH(Summary!AF$1,'IA1-Final Void inc Ramps'!$A$9:$BN$9,1),FALSE),0)</f>
        <v>171.6</v>
      </c>
      <c r="AG24" s="51">
        <f>IFERROR(VLOOKUP($B24,'RA1- Elevated Dumps Upper'!$A$11:$BN$18,MATCH(Summary!AG$1,'RA1- Elevated Dumps Upper'!$A$9:$BN$9,1),FALSE),0)+IFERROR(VLOOKUP($B24,'RA2-Elevated Dumps Slopes'!$A$11:$BN$18,MATCH(Summary!AG$1,'RA2-Elevated Dumps Slopes'!$A$9:$BN$9,1),FALSE),0)+IFERROR(VLOOKUP($B24,'RA3-Backfilled Pits'!$A$11:$BN$18,MATCH(Summary!AG$1,'RA3-Backfilled Pits'!$A$9:$BN$9,1),FALSE),0)+IFERROR(VLOOKUP($B24,'RA4-Tracks_Roads'!$A$11:$BN$18,MATCH(Summary!AG$1,'RA4-Tracks_Roads'!$A$9:$BN$9,1),FALSE),0)+IFERROR(VLOOKUP($B24,'RA5-ROM'!$A$11:$BN$18,MATCH(Summary!AG$1,'RA5-ROM'!$A$9:$BN$9,1),FALSE),0)+IFERROR(VLOOKUP($B24,'RA6-CHPP'!$A$11:$BN$18,MATCH(Summary!AG$1,'RA6-CHPP'!$A$9:$BN$9,1),FALSE),0)+IFERROR(VLOOKUP($B24,'RA7-Mine Infrastructure Area'!$A$11:$BN$18,MATCH(Summary!AG$1,'RA7-Mine Infrastructure Area'!$A$9:$BN$9,1),FALSE),0)+IFERROR(VLOOKUP($B24,'RA8-Water Management Structures'!$A$11:$BN$18,MATCH(Summary!AG$1,'RA8-Water Management Structures'!$A$9:$BN$9,1),FALSE),0)+IFERROR(VLOOKUP($B24,'RA9-Codisposal Upper'!$A$11:$BN$18,MATCH(Summary!AG$1,'RA9-Codisposal Upper'!$A$9:$BN$9,1),FALSE),0)+IFERROR(VLOOKUP($B24,'RA10-Codisposal Slopes'!$A$11:$BN$18,MATCH(Summary!AG$1,'RA10-Codisposal Slopes'!$A$9:$BN$9,1),FALSE),0)+IFERROR(VLOOKUP($B24,'IA1-Final Void inc Ramps'!$A$11:$BN$18,MATCH(Summary!AG$1,'IA1-Final Void inc Ramps'!$A$9:$BN$9,1),FALSE),0)</f>
        <v>171.6</v>
      </c>
      <c r="AH24" s="51">
        <f>IFERROR(VLOOKUP($B24,'RA1- Elevated Dumps Upper'!$A$11:$BN$18,MATCH(Summary!AH$1,'RA1- Elevated Dumps Upper'!$A$9:$BN$9,1),FALSE),0)+IFERROR(VLOOKUP($B24,'RA2-Elevated Dumps Slopes'!$A$11:$BN$18,MATCH(Summary!AH$1,'RA2-Elevated Dumps Slopes'!$A$9:$BN$9,1),FALSE),0)+IFERROR(VLOOKUP($B24,'RA3-Backfilled Pits'!$A$11:$BN$18,MATCH(Summary!AH$1,'RA3-Backfilled Pits'!$A$9:$BN$9,1),FALSE),0)+IFERROR(VLOOKUP($B24,'RA4-Tracks_Roads'!$A$11:$BN$18,MATCH(Summary!AH$1,'RA4-Tracks_Roads'!$A$9:$BN$9,1),FALSE),0)+IFERROR(VLOOKUP($B24,'RA5-ROM'!$A$11:$BN$18,MATCH(Summary!AH$1,'RA5-ROM'!$A$9:$BN$9,1),FALSE),0)+IFERROR(VLOOKUP($B24,'RA6-CHPP'!$A$11:$BN$18,MATCH(Summary!AH$1,'RA6-CHPP'!$A$9:$BN$9,1),FALSE),0)+IFERROR(VLOOKUP($B24,'RA7-Mine Infrastructure Area'!$A$11:$BN$18,MATCH(Summary!AH$1,'RA7-Mine Infrastructure Area'!$A$9:$BN$9,1),FALSE),0)+IFERROR(VLOOKUP($B24,'RA8-Water Management Structures'!$A$11:$BN$18,MATCH(Summary!AH$1,'RA8-Water Management Structures'!$A$9:$BN$9,1),FALSE),0)+IFERROR(VLOOKUP($B24,'RA9-Codisposal Upper'!$A$11:$BN$18,MATCH(Summary!AH$1,'RA9-Codisposal Upper'!$A$9:$BN$9,1),FALSE),0)+IFERROR(VLOOKUP($B24,'RA10-Codisposal Slopes'!$A$11:$BN$18,MATCH(Summary!AH$1,'RA10-Codisposal Slopes'!$A$9:$BN$9,1),FALSE),0)+IFERROR(VLOOKUP($B24,'IA1-Final Void inc Ramps'!$A$11:$BN$18,MATCH(Summary!AH$1,'IA1-Final Void inc Ramps'!$A$9:$BN$9,1),FALSE),0)</f>
        <v>171.6</v>
      </c>
      <c r="AI24" s="51">
        <f>IFERROR(VLOOKUP($B24,'RA1- Elevated Dumps Upper'!$A$11:$BN$18,MATCH(Summary!AI$1,'RA1- Elevated Dumps Upper'!$A$9:$BN$9,1),FALSE),0)+IFERROR(VLOOKUP($B24,'RA2-Elevated Dumps Slopes'!$A$11:$BN$18,MATCH(Summary!AI$1,'RA2-Elevated Dumps Slopes'!$A$9:$BN$9,1),FALSE),0)+IFERROR(VLOOKUP($B24,'RA3-Backfilled Pits'!$A$11:$BN$18,MATCH(Summary!AI$1,'RA3-Backfilled Pits'!$A$9:$BN$9,1),FALSE),0)+IFERROR(VLOOKUP($B24,'RA4-Tracks_Roads'!$A$11:$BN$18,MATCH(Summary!AI$1,'RA4-Tracks_Roads'!$A$9:$BN$9,1),FALSE),0)+IFERROR(VLOOKUP($B24,'RA5-ROM'!$A$11:$BN$18,MATCH(Summary!AI$1,'RA5-ROM'!$A$9:$BN$9,1),FALSE),0)+IFERROR(VLOOKUP($B24,'RA6-CHPP'!$A$11:$BN$18,MATCH(Summary!AI$1,'RA6-CHPP'!$A$9:$BN$9,1),FALSE),0)+IFERROR(VLOOKUP($B24,'RA7-Mine Infrastructure Area'!$A$11:$BN$18,MATCH(Summary!AI$1,'RA7-Mine Infrastructure Area'!$A$9:$BN$9,1),FALSE),0)+IFERROR(VLOOKUP($B24,'RA8-Water Management Structures'!$A$11:$BN$18,MATCH(Summary!AI$1,'RA8-Water Management Structures'!$A$9:$BN$9,1),FALSE),0)+IFERROR(VLOOKUP($B24,'RA9-Codisposal Upper'!$A$11:$BN$18,MATCH(Summary!AI$1,'RA9-Codisposal Upper'!$A$9:$BN$9,1),FALSE),0)+IFERROR(VLOOKUP($B24,'RA10-Codisposal Slopes'!$A$11:$BN$18,MATCH(Summary!AI$1,'RA10-Codisposal Slopes'!$A$9:$BN$9,1),FALSE),0)+IFERROR(VLOOKUP($B24,'IA1-Final Void inc Ramps'!$A$11:$BN$18,MATCH(Summary!AI$1,'IA1-Final Void inc Ramps'!$A$9:$BN$9,1),FALSE),0)</f>
        <v>171.6</v>
      </c>
      <c r="AJ24" s="51">
        <f>IFERROR(VLOOKUP($B24,'RA1- Elevated Dumps Upper'!$A$11:$BN$18,MATCH(Summary!AJ$1,'RA1- Elevated Dumps Upper'!$A$9:$BN$9,1),FALSE),0)+IFERROR(VLOOKUP($B24,'RA2-Elevated Dumps Slopes'!$A$11:$BN$18,MATCH(Summary!AJ$1,'RA2-Elevated Dumps Slopes'!$A$9:$BN$9,1),FALSE),0)+IFERROR(VLOOKUP($B24,'RA3-Backfilled Pits'!$A$11:$BN$18,MATCH(Summary!AJ$1,'RA3-Backfilled Pits'!$A$9:$BN$9,1),FALSE),0)+IFERROR(VLOOKUP($B24,'RA4-Tracks_Roads'!$A$11:$BN$18,MATCH(Summary!AJ$1,'RA4-Tracks_Roads'!$A$9:$BN$9,1),FALSE),0)+IFERROR(VLOOKUP($B24,'RA5-ROM'!$A$11:$BN$18,MATCH(Summary!AJ$1,'RA5-ROM'!$A$9:$BN$9,1),FALSE),0)+IFERROR(VLOOKUP($B24,'RA6-CHPP'!$A$11:$BN$18,MATCH(Summary!AJ$1,'RA6-CHPP'!$A$9:$BN$9,1),FALSE),0)+IFERROR(VLOOKUP($B24,'RA7-Mine Infrastructure Area'!$A$11:$BN$18,MATCH(Summary!AJ$1,'RA7-Mine Infrastructure Area'!$A$9:$BN$9,1),FALSE),0)+IFERROR(VLOOKUP($B24,'RA8-Water Management Structures'!$A$11:$BN$18,MATCH(Summary!AJ$1,'RA8-Water Management Structures'!$A$9:$BN$9,1),FALSE),0)+IFERROR(VLOOKUP($B24,'RA9-Codisposal Upper'!$A$11:$BN$18,MATCH(Summary!AJ$1,'RA9-Codisposal Upper'!$A$9:$BN$9,1),FALSE),0)+IFERROR(VLOOKUP($B24,'RA10-Codisposal Slopes'!$A$11:$BN$18,MATCH(Summary!AJ$1,'RA10-Codisposal Slopes'!$A$9:$BN$9,1),FALSE),0)+IFERROR(VLOOKUP($B24,'IA1-Final Void inc Ramps'!$A$11:$BN$18,MATCH(Summary!AJ$1,'IA1-Final Void inc Ramps'!$A$9:$BN$9,1),FALSE),0)</f>
        <v>171.6</v>
      </c>
      <c r="AK24" s="51">
        <f>IFERROR(VLOOKUP($B24,'RA1- Elevated Dumps Upper'!$A$11:$BN$18,MATCH(Summary!AK$1,'RA1- Elevated Dumps Upper'!$A$9:$BN$9,1),FALSE),0)+IFERROR(VLOOKUP($B24,'RA2-Elevated Dumps Slopes'!$A$11:$BN$18,MATCH(Summary!AK$1,'RA2-Elevated Dumps Slopes'!$A$9:$BN$9,1),FALSE),0)+IFERROR(VLOOKUP($B24,'RA3-Backfilled Pits'!$A$11:$BN$18,MATCH(Summary!AK$1,'RA3-Backfilled Pits'!$A$9:$BN$9,1),FALSE),0)+IFERROR(VLOOKUP($B24,'RA4-Tracks_Roads'!$A$11:$BN$18,MATCH(Summary!AK$1,'RA4-Tracks_Roads'!$A$9:$BN$9,1),FALSE),0)+IFERROR(VLOOKUP($B24,'RA5-ROM'!$A$11:$BN$18,MATCH(Summary!AK$1,'RA5-ROM'!$A$9:$BN$9,1),FALSE),0)+IFERROR(VLOOKUP($B24,'RA6-CHPP'!$A$11:$BN$18,MATCH(Summary!AK$1,'RA6-CHPP'!$A$9:$BN$9,1),FALSE),0)+IFERROR(VLOOKUP($B24,'RA7-Mine Infrastructure Area'!$A$11:$BN$18,MATCH(Summary!AK$1,'RA7-Mine Infrastructure Area'!$A$9:$BN$9,1),FALSE),0)+IFERROR(VLOOKUP($B24,'RA8-Water Management Structures'!$A$11:$BN$18,MATCH(Summary!AK$1,'RA8-Water Management Structures'!$A$9:$BN$9,1),FALSE),0)+IFERROR(VLOOKUP($B24,'RA9-Codisposal Upper'!$A$11:$BN$18,MATCH(Summary!AK$1,'RA9-Codisposal Upper'!$A$9:$BN$9,1),FALSE),0)+IFERROR(VLOOKUP($B24,'RA10-Codisposal Slopes'!$A$11:$BN$18,MATCH(Summary!AK$1,'RA10-Codisposal Slopes'!$A$9:$BN$9,1),FALSE),0)+IFERROR(VLOOKUP($B24,'IA1-Final Void inc Ramps'!$A$11:$BN$18,MATCH(Summary!AK$1,'IA1-Final Void inc Ramps'!$A$9:$BN$9,1),FALSE),0)</f>
        <v>171.6</v>
      </c>
      <c r="AL24" s="51">
        <f>IFERROR(VLOOKUP($B24,'RA1- Elevated Dumps Upper'!$A$11:$BN$18,MATCH(Summary!AL$1,'RA1- Elevated Dumps Upper'!$A$9:$BN$9,1),FALSE),0)+IFERROR(VLOOKUP($B24,'RA2-Elevated Dumps Slopes'!$A$11:$BN$18,MATCH(Summary!AL$1,'RA2-Elevated Dumps Slopes'!$A$9:$BN$9,1),FALSE),0)+IFERROR(VLOOKUP($B24,'RA3-Backfilled Pits'!$A$11:$BN$18,MATCH(Summary!AL$1,'RA3-Backfilled Pits'!$A$9:$BN$9,1),FALSE),0)+IFERROR(VLOOKUP($B24,'RA4-Tracks_Roads'!$A$11:$BN$18,MATCH(Summary!AL$1,'RA4-Tracks_Roads'!$A$9:$BN$9,1),FALSE),0)+IFERROR(VLOOKUP($B24,'RA5-ROM'!$A$11:$BN$18,MATCH(Summary!AL$1,'RA5-ROM'!$A$9:$BN$9,1),FALSE),0)+IFERROR(VLOOKUP($B24,'RA6-CHPP'!$A$11:$BN$18,MATCH(Summary!AL$1,'RA6-CHPP'!$A$9:$BN$9,1),FALSE),0)+IFERROR(VLOOKUP($B24,'RA7-Mine Infrastructure Area'!$A$11:$BN$18,MATCH(Summary!AL$1,'RA7-Mine Infrastructure Area'!$A$9:$BN$9,1),FALSE),0)+IFERROR(VLOOKUP($B24,'RA8-Water Management Structures'!$A$11:$BN$18,MATCH(Summary!AL$1,'RA8-Water Management Structures'!$A$9:$BN$9,1),FALSE),0)+IFERROR(VLOOKUP($B24,'RA9-Codisposal Upper'!$A$11:$BN$18,MATCH(Summary!AL$1,'RA9-Codisposal Upper'!$A$9:$BN$9,1),FALSE),0)+IFERROR(VLOOKUP($B24,'RA10-Codisposal Slopes'!$A$11:$BN$18,MATCH(Summary!AL$1,'RA10-Codisposal Slopes'!$A$9:$BN$9,1),FALSE),0)+IFERROR(VLOOKUP($B24,'IA1-Final Void inc Ramps'!$A$11:$BN$18,MATCH(Summary!AL$1,'IA1-Final Void inc Ramps'!$A$9:$BN$9,1),FALSE),0)</f>
        <v>171.6</v>
      </c>
      <c r="AM24" s="51">
        <f>IFERROR(VLOOKUP($B24,'RA1- Elevated Dumps Upper'!$A$11:$BN$18,MATCH(Summary!AM$1,'RA1- Elevated Dumps Upper'!$A$9:$BN$9,1),FALSE),0)+IFERROR(VLOOKUP($B24,'RA2-Elevated Dumps Slopes'!$A$11:$BN$18,MATCH(Summary!AM$1,'RA2-Elevated Dumps Slopes'!$A$9:$BN$9,1),FALSE),0)+IFERROR(VLOOKUP($B24,'RA3-Backfilled Pits'!$A$11:$BN$18,MATCH(Summary!AM$1,'RA3-Backfilled Pits'!$A$9:$BN$9,1),FALSE),0)+IFERROR(VLOOKUP($B24,'RA4-Tracks_Roads'!$A$11:$BN$18,MATCH(Summary!AM$1,'RA4-Tracks_Roads'!$A$9:$BN$9,1),FALSE),0)+IFERROR(VLOOKUP($B24,'RA5-ROM'!$A$11:$BN$18,MATCH(Summary!AM$1,'RA5-ROM'!$A$9:$BN$9,1),FALSE),0)+IFERROR(VLOOKUP($B24,'RA6-CHPP'!$A$11:$BN$18,MATCH(Summary!AM$1,'RA6-CHPP'!$A$9:$BN$9,1),FALSE),0)+IFERROR(VLOOKUP($B24,'RA7-Mine Infrastructure Area'!$A$11:$BN$18,MATCH(Summary!AM$1,'RA7-Mine Infrastructure Area'!$A$9:$BN$9,1),FALSE),0)+IFERROR(VLOOKUP($B24,'RA8-Water Management Structures'!$A$11:$BN$18,MATCH(Summary!AM$1,'RA8-Water Management Structures'!$A$9:$BN$9,1),FALSE),0)+IFERROR(VLOOKUP($B24,'RA9-Codisposal Upper'!$A$11:$BN$18,MATCH(Summary!AM$1,'RA9-Codisposal Upper'!$A$9:$BN$9,1),FALSE),0)+IFERROR(VLOOKUP($B24,'RA10-Codisposal Slopes'!$A$11:$BN$18,MATCH(Summary!AM$1,'RA10-Codisposal Slopes'!$A$9:$BN$9,1),FALSE),0)+IFERROR(VLOOKUP($B24,'IA1-Final Void inc Ramps'!$A$11:$BN$18,MATCH(Summary!AM$1,'IA1-Final Void inc Ramps'!$A$9:$BN$9,1),FALSE),0)</f>
        <v>171.6</v>
      </c>
      <c r="AN24" s="51">
        <f>IFERROR(VLOOKUP($B24,'RA1- Elevated Dumps Upper'!$A$11:$BN$18,MATCH(Summary!AN$1,'RA1- Elevated Dumps Upper'!$A$9:$BN$9,1),FALSE),0)+IFERROR(VLOOKUP($B24,'RA2-Elevated Dumps Slopes'!$A$11:$BN$18,MATCH(Summary!AN$1,'RA2-Elevated Dumps Slopes'!$A$9:$BN$9,1),FALSE),0)+IFERROR(VLOOKUP($B24,'RA3-Backfilled Pits'!$A$11:$BN$18,MATCH(Summary!AN$1,'RA3-Backfilled Pits'!$A$9:$BN$9,1),FALSE),0)+IFERROR(VLOOKUP($B24,'RA4-Tracks_Roads'!$A$11:$BN$18,MATCH(Summary!AN$1,'RA4-Tracks_Roads'!$A$9:$BN$9,1),FALSE),0)+IFERROR(VLOOKUP($B24,'RA5-ROM'!$A$11:$BN$18,MATCH(Summary!AN$1,'RA5-ROM'!$A$9:$BN$9,1),FALSE),0)+IFERROR(VLOOKUP($B24,'RA6-CHPP'!$A$11:$BN$18,MATCH(Summary!AN$1,'RA6-CHPP'!$A$9:$BN$9,1),FALSE),0)+IFERROR(VLOOKUP($B24,'RA7-Mine Infrastructure Area'!$A$11:$BN$18,MATCH(Summary!AN$1,'RA7-Mine Infrastructure Area'!$A$9:$BN$9,1),FALSE),0)+IFERROR(VLOOKUP($B24,'RA8-Water Management Structures'!$A$11:$BN$18,MATCH(Summary!AN$1,'RA8-Water Management Structures'!$A$9:$BN$9,1),FALSE),0)+IFERROR(VLOOKUP($B24,'RA9-Codisposal Upper'!$A$11:$BN$18,MATCH(Summary!AN$1,'RA9-Codisposal Upper'!$A$9:$BN$9,1),FALSE),0)+IFERROR(VLOOKUP($B24,'RA10-Codisposal Slopes'!$A$11:$BN$18,MATCH(Summary!AN$1,'RA10-Codisposal Slopes'!$A$9:$BN$9,1),FALSE),0)+IFERROR(VLOOKUP($B24,'IA1-Final Void inc Ramps'!$A$11:$BN$18,MATCH(Summary!AN$1,'IA1-Final Void inc Ramps'!$A$9:$BN$9,1),FALSE),0)</f>
        <v>171.6</v>
      </c>
      <c r="AO24" s="51">
        <f>IFERROR(VLOOKUP($B24,'RA1- Elevated Dumps Upper'!$A$11:$BN$18,MATCH(Summary!AO$1,'RA1- Elevated Dumps Upper'!$A$9:$BN$9,1),FALSE),0)+IFERROR(VLOOKUP($B24,'RA2-Elevated Dumps Slopes'!$A$11:$BN$18,MATCH(Summary!AO$1,'RA2-Elevated Dumps Slopes'!$A$9:$BN$9,1),FALSE),0)+IFERROR(VLOOKUP($B24,'RA3-Backfilled Pits'!$A$11:$BN$18,MATCH(Summary!AO$1,'RA3-Backfilled Pits'!$A$9:$BN$9,1),FALSE),0)+IFERROR(VLOOKUP($B24,'RA4-Tracks_Roads'!$A$11:$BN$18,MATCH(Summary!AO$1,'RA4-Tracks_Roads'!$A$9:$BN$9,1),FALSE),0)+IFERROR(VLOOKUP($B24,'RA5-ROM'!$A$11:$BN$18,MATCH(Summary!AO$1,'RA5-ROM'!$A$9:$BN$9,1),FALSE),0)+IFERROR(VLOOKUP($B24,'RA6-CHPP'!$A$11:$BN$18,MATCH(Summary!AO$1,'RA6-CHPP'!$A$9:$BN$9,1),FALSE),0)+IFERROR(VLOOKUP($B24,'RA7-Mine Infrastructure Area'!$A$11:$BN$18,MATCH(Summary!AO$1,'RA7-Mine Infrastructure Area'!$A$9:$BN$9,1),FALSE),0)+IFERROR(VLOOKUP($B24,'RA8-Water Management Structures'!$A$11:$BN$18,MATCH(Summary!AO$1,'RA8-Water Management Structures'!$A$9:$BN$9,1),FALSE),0)+IFERROR(VLOOKUP($B24,'RA9-Codisposal Upper'!$A$11:$BN$18,MATCH(Summary!AO$1,'RA9-Codisposal Upper'!$A$9:$BN$9,1),FALSE),0)+IFERROR(VLOOKUP($B24,'RA10-Codisposal Slopes'!$A$11:$BN$18,MATCH(Summary!AO$1,'RA10-Codisposal Slopes'!$A$9:$BN$9,1),FALSE),0)+IFERROR(VLOOKUP($B24,'IA1-Final Void inc Ramps'!$A$11:$BN$18,MATCH(Summary!AO$1,'IA1-Final Void inc Ramps'!$A$9:$BN$9,1),FALSE),0)</f>
        <v>171.6</v>
      </c>
      <c r="AP24" s="51">
        <f>IFERROR(VLOOKUP($B24,'RA1- Elevated Dumps Upper'!$A$11:$BN$18,MATCH(Summary!AP$1,'RA1- Elevated Dumps Upper'!$A$9:$BN$9,1),FALSE),0)+IFERROR(VLOOKUP($B24,'RA2-Elevated Dumps Slopes'!$A$11:$BN$18,MATCH(Summary!AP$1,'RA2-Elevated Dumps Slopes'!$A$9:$BN$9,1),FALSE),0)+IFERROR(VLOOKUP($B24,'RA3-Backfilled Pits'!$A$11:$BN$18,MATCH(Summary!AP$1,'RA3-Backfilled Pits'!$A$9:$BN$9,1),FALSE),0)+IFERROR(VLOOKUP($B24,'RA4-Tracks_Roads'!$A$11:$BN$18,MATCH(Summary!AP$1,'RA4-Tracks_Roads'!$A$9:$BN$9,1),FALSE),0)+IFERROR(VLOOKUP($B24,'RA5-ROM'!$A$11:$BN$18,MATCH(Summary!AP$1,'RA5-ROM'!$A$9:$BN$9,1),FALSE),0)+IFERROR(VLOOKUP($B24,'RA6-CHPP'!$A$11:$BN$18,MATCH(Summary!AP$1,'RA6-CHPP'!$A$9:$BN$9,1),FALSE),0)+IFERROR(VLOOKUP($B24,'RA7-Mine Infrastructure Area'!$A$11:$BN$18,MATCH(Summary!AP$1,'RA7-Mine Infrastructure Area'!$A$9:$BN$9,1),FALSE),0)+IFERROR(VLOOKUP($B24,'RA8-Water Management Structures'!$A$11:$BN$18,MATCH(Summary!AP$1,'RA8-Water Management Structures'!$A$9:$BN$9,1),FALSE),0)+IFERROR(VLOOKUP($B24,'RA9-Codisposal Upper'!$A$11:$BN$18,MATCH(Summary!AP$1,'RA9-Codisposal Upper'!$A$9:$BN$9,1),FALSE),0)+IFERROR(VLOOKUP($B24,'RA10-Codisposal Slopes'!$A$11:$BN$18,MATCH(Summary!AP$1,'RA10-Codisposal Slopes'!$A$9:$BN$9,1),FALSE),0)+IFERROR(VLOOKUP($B24,'IA1-Final Void inc Ramps'!$A$11:$BN$18,MATCH(Summary!AP$1,'IA1-Final Void inc Ramps'!$A$9:$BN$9,1),FALSE),0)</f>
        <v>171.6</v>
      </c>
      <c r="AQ24" s="51">
        <f>IFERROR(VLOOKUP($B24,'RA1- Elevated Dumps Upper'!$A$11:$BN$18,MATCH(Summary!AQ$1,'RA1- Elevated Dumps Upper'!$A$9:$BN$9,1),FALSE),0)+IFERROR(VLOOKUP($B24,'RA2-Elevated Dumps Slopes'!$A$11:$BN$18,MATCH(Summary!AQ$1,'RA2-Elevated Dumps Slopes'!$A$9:$BN$9,1),FALSE),0)+IFERROR(VLOOKUP($B24,'RA3-Backfilled Pits'!$A$11:$BN$18,MATCH(Summary!AQ$1,'RA3-Backfilled Pits'!$A$9:$BN$9,1),FALSE),0)+IFERROR(VLOOKUP($B24,'RA4-Tracks_Roads'!$A$11:$BN$18,MATCH(Summary!AQ$1,'RA4-Tracks_Roads'!$A$9:$BN$9,1),FALSE),0)+IFERROR(VLOOKUP($B24,'RA5-ROM'!$A$11:$BN$18,MATCH(Summary!AQ$1,'RA5-ROM'!$A$9:$BN$9,1),FALSE),0)+IFERROR(VLOOKUP($B24,'RA6-CHPP'!$A$11:$BN$18,MATCH(Summary!AQ$1,'RA6-CHPP'!$A$9:$BN$9,1),FALSE),0)+IFERROR(VLOOKUP($B24,'RA7-Mine Infrastructure Area'!$A$11:$BN$18,MATCH(Summary!AQ$1,'RA7-Mine Infrastructure Area'!$A$9:$BN$9,1),FALSE),0)+IFERROR(VLOOKUP($B24,'RA8-Water Management Structures'!$A$11:$BN$18,MATCH(Summary!AQ$1,'RA8-Water Management Structures'!$A$9:$BN$9,1),FALSE),0)+IFERROR(VLOOKUP($B24,'RA9-Codisposal Upper'!$A$11:$BN$18,MATCH(Summary!AQ$1,'RA9-Codisposal Upper'!$A$9:$BN$9,1),FALSE),0)+IFERROR(VLOOKUP($B24,'RA10-Codisposal Slopes'!$A$11:$BN$18,MATCH(Summary!AQ$1,'RA10-Codisposal Slopes'!$A$9:$BN$9,1),FALSE),0)+IFERROR(VLOOKUP($B24,'IA1-Final Void inc Ramps'!$A$11:$BN$18,MATCH(Summary!AQ$1,'IA1-Final Void inc Ramps'!$A$9:$BN$9,1),FALSE),0)</f>
        <v>171.6</v>
      </c>
      <c r="AR24" s="51">
        <f>IFERROR(VLOOKUP($B24,'RA1- Elevated Dumps Upper'!$A$11:$BN$18,MATCH(Summary!AR$1,'RA1- Elevated Dumps Upper'!$A$9:$BN$9,1),FALSE),0)+IFERROR(VLOOKUP($B24,'RA2-Elevated Dumps Slopes'!$A$11:$BN$18,MATCH(Summary!AR$1,'RA2-Elevated Dumps Slopes'!$A$9:$BN$9,1),FALSE),0)+IFERROR(VLOOKUP($B24,'RA3-Backfilled Pits'!$A$11:$BN$18,MATCH(Summary!AR$1,'RA3-Backfilled Pits'!$A$9:$BN$9,1),FALSE),0)+IFERROR(VLOOKUP($B24,'RA4-Tracks_Roads'!$A$11:$BN$18,MATCH(Summary!AR$1,'RA4-Tracks_Roads'!$A$9:$BN$9,1),FALSE),0)+IFERROR(VLOOKUP($B24,'RA5-ROM'!$A$11:$BN$18,MATCH(Summary!AR$1,'RA5-ROM'!$A$9:$BN$9,1),FALSE),0)+IFERROR(VLOOKUP($B24,'RA6-CHPP'!$A$11:$BN$18,MATCH(Summary!AR$1,'RA6-CHPP'!$A$9:$BN$9,1),FALSE),0)+IFERROR(VLOOKUP($B24,'RA7-Mine Infrastructure Area'!$A$11:$BN$18,MATCH(Summary!AR$1,'RA7-Mine Infrastructure Area'!$A$9:$BN$9,1),FALSE),0)+IFERROR(VLOOKUP($B24,'RA8-Water Management Structures'!$A$11:$BN$18,MATCH(Summary!AR$1,'RA8-Water Management Structures'!$A$9:$BN$9,1),FALSE),0)+IFERROR(VLOOKUP($B24,'RA9-Codisposal Upper'!$A$11:$BN$18,MATCH(Summary!AR$1,'RA9-Codisposal Upper'!$A$9:$BN$9,1),FALSE),0)+IFERROR(VLOOKUP($B24,'RA10-Codisposal Slopes'!$A$11:$BN$18,MATCH(Summary!AR$1,'RA10-Codisposal Slopes'!$A$9:$BN$9,1),FALSE),0)+IFERROR(VLOOKUP($B24,'IA1-Final Void inc Ramps'!$A$11:$BN$18,MATCH(Summary!AR$1,'IA1-Final Void inc Ramps'!$A$9:$BN$9,1),FALSE),0)</f>
        <v>171.6</v>
      </c>
      <c r="AS24" s="51">
        <f>IFERROR(VLOOKUP($B24,'RA1- Elevated Dumps Upper'!$A$11:$BN$18,MATCH(Summary!AS$1,'RA1- Elevated Dumps Upper'!$A$9:$BN$9,1),FALSE),0)+IFERROR(VLOOKUP($B24,'RA2-Elevated Dumps Slopes'!$A$11:$BN$18,MATCH(Summary!AS$1,'RA2-Elevated Dumps Slopes'!$A$9:$BN$9,1),FALSE),0)+IFERROR(VLOOKUP($B24,'RA3-Backfilled Pits'!$A$11:$BN$18,MATCH(Summary!AS$1,'RA3-Backfilled Pits'!$A$9:$BN$9,1),FALSE),0)+IFERROR(VLOOKUP($B24,'RA4-Tracks_Roads'!$A$11:$BN$18,MATCH(Summary!AS$1,'RA4-Tracks_Roads'!$A$9:$BN$9,1),FALSE),0)+IFERROR(VLOOKUP($B24,'RA5-ROM'!$A$11:$BN$18,MATCH(Summary!AS$1,'RA5-ROM'!$A$9:$BN$9,1),FALSE),0)+IFERROR(VLOOKUP($B24,'RA6-CHPP'!$A$11:$BN$18,MATCH(Summary!AS$1,'RA6-CHPP'!$A$9:$BN$9,1),FALSE),0)+IFERROR(VLOOKUP($B24,'RA7-Mine Infrastructure Area'!$A$11:$BN$18,MATCH(Summary!AS$1,'RA7-Mine Infrastructure Area'!$A$9:$BN$9,1),FALSE),0)+IFERROR(VLOOKUP($B24,'RA8-Water Management Structures'!$A$11:$BN$18,MATCH(Summary!AS$1,'RA8-Water Management Structures'!$A$9:$BN$9,1),FALSE),0)+IFERROR(VLOOKUP($B24,'RA9-Codisposal Upper'!$A$11:$BN$18,MATCH(Summary!AS$1,'RA9-Codisposal Upper'!$A$9:$BN$9,1),FALSE),0)+IFERROR(VLOOKUP($B24,'RA10-Codisposal Slopes'!$A$11:$BN$18,MATCH(Summary!AS$1,'RA10-Codisposal Slopes'!$A$9:$BN$9,1),FALSE),0)+IFERROR(VLOOKUP($B24,'IA1-Final Void inc Ramps'!$A$11:$BN$18,MATCH(Summary!AS$1,'IA1-Final Void inc Ramps'!$A$9:$BN$9,1),FALSE),0)</f>
        <v>171.6</v>
      </c>
      <c r="AT24" s="51">
        <f>IFERROR(VLOOKUP($B24,'RA1- Elevated Dumps Upper'!$A$11:$BN$18,MATCH(Summary!AT$1,'RA1- Elevated Dumps Upper'!$A$9:$BN$9,1),FALSE),0)+IFERROR(VLOOKUP($B24,'RA2-Elevated Dumps Slopes'!$A$11:$BN$18,MATCH(Summary!AT$1,'RA2-Elevated Dumps Slopes'!$A$9:$BN$9,1),FALSE),0)+IFERROR(VLOOKUP($B24,'RA3-Backfilled Pits'!$A$11:$BN$18,MATCH(Summary!AT$1,'RA3-Backfilled Pits'!$A$9:$BN$9,1),FALSE),0)+IFERROR(VLOOKUP($B24,'RA4-Tracks_Roads'!$A$11:$BN$18,MATCH(Summary!AT$1,'RA4-Tracks_Roads'!$A$9:$BN$9,1),FALSE),0)+IFERROR(VLOOKUP($B24,'RA5-ROM'!$A$11:$BN$18,MATCH(Summary!AT$1,'RA5-ROM'!$A$9:$BN$9,1),FALSE),0)+IFERROR(VLOOKUP($B24,'RA6-CHPP'!$A$11:$BN$18,MATCH(Summary!AT$1,'RA6-CHPP'!$A$9:$BN$9,1),FALSE),0)+IFERROR(VLOOKUP($B24,'RA7-Mine Infrastructure Area'!$A$11:$BN$18,MATCH(Summary!AT$1,'RA7-Mine Infrastructure Area'!$A$9:$BN$9,1),FALSE),0)+IFERROR(VLOOKUP($B24,'RA8-Water Management Structures'!$A$11:$BN$18,MATCH(Summary!AT$1,'RA8-Water Management Structures'!$A$9:$BN$9,1),FALSE),0)+IFERROR(VLOOKUP($B24,'RA9-Codisposal Upper'!$A$11:$BN$18,MATCH(Summary!AT$1,'RA9-Codisposal Upper'!$A$9:$BN$9,1),FALSE),0)+IFERROR(VLOOKUP($B24,'RA10-Codisposal Slopes'!$A$11:$BN$18,MATCH(Summary!AT$1,'RA10-Codisposal Slopes'!$A$9:$BN$9,1),FALSE),0)+IFERROR(VLOOKUP($B24,'IA1-Final Void inc Ramps'!$A$11:$BN$18,MATCH(Summary!AT$1,'IA1-Final Void inc Ramps'!$A$9:$BN$9,1),FALSE),0)</f>
        <v>171.6</v>
      </c>
      <c r="AU24" s="51">
        <f>IFERROR(VLOOKUP($B24,'RA1- Elevated Dumps Upper'!$A$11:$BN$18,MATCH(Summary!AU$1,'RA1- Elevated Dumps Upper'!$A$9:$BN$9,1),FALSE),0)+IFERROR(VLOOKUP($B24,'RA2-Elevated Dumps Slopes'!$A$11:$BN$18,MATCH(Summary!AU$1,'RA2-Elevated Dumps Slopes'!$A$9:$BN$9,1),FALSE),0)+IFERROR(VLOOKUP($B24,'RA3-Backfilled Pits'!$A$11:$BN$18,MATCH(Summary!AU$1,'RA3-Backfilled Pits'!$A$9:$BN$9,1),FALSE),0)+IFERROR(VLOOKUP($B24,'RA4-Tracks_Roads'!$A$11:$BN$18,MATCH(Summary!AU$1,'RA4-Tracks_Roads'!$A$9:$BN$9,1),FALSE),0)+IFERROR(VLOOKUP($B24,'RA5-ROM'!$A$11:$BN$18,MATCH(Summary!AU$1,'RA5-ROM'!$A$9:$BN$9,1),FALSE),0)+IFERROR(VLOOKUP($B24,'RA6-CHPP'!$A$11:$BN$18,MATCH(Summary!AU$1,'RA6-CHPP'!$A$9:$BN$9,1),FALSE),0)+IFERROR(VLOOKUP($B24,'RA7-Mine Infrastructure Area'!$A$11:$BN$18,MATCH(Summary!AU$1,'RA7-Mine Infrastructure Area'!$A$9:$BN$9,1),FALSE),0)+IFERROR(VLOOKUP($B24,'RA8-Water Management Structures'!$A$11:$BN$18,MATCH(Summary!AU$1,'RA8-Water Management Structures'!$A$9:$BN$9,1),FALSE),0)+IFERROR(VLOOKUP($B24,'RA9-Codisposal Upper'!$A$11:$BN$18,MATCH(Summary!AU$1,'RA9-Codisposal Upper'!$A$9:$BN$9,1),FALSE),0)+IFERROR(VLOOKUP($B24,'RA10-Codisposal Slopes'!$A$11:$BN$18,MATCH(Summary!AU$1,'RA10-Codisposal Slopes'!$A$9:$BN$9,1),FALSE),0)+IFERROR(VLOOKUP($B24,'IA1-Final Void inc Ramps'!$A$11:$BN$18,MATCH(Summary!AU$1,'IA1-Final Void inc Ramps'!$A$9:$BN$9,1),FALSE),0)</f>
        <v>171.6</v>
      </c>
      <c r="AV24" s="51">
        <f>IFERROR(VLOOKUP($B24,'RA1- Elevated Dumps Upper'!$A$11:$BN$18,MATCH(Summary!AV$1,'RA1- Elevated Dumps Upper'!$A$9:$BN$9,1),FALSE),0)+IFERROR(VLOOKUP($B24,'RA2-Elevated Dumps Slopes'!$A$11:$BN$18,MATCH(Summary!AV$1,'RA2-Elevated Dumps Slopes'!$A$9:$BN$9,1),FALSE),0)+IFERROR(VLOOKUP($B24,'RA3-Backfilled Pits'!$A$11:$BN$18,MATCH(Summary!AV$1,'RA3-Backfilled Pits'!$A$9:$BN$9,1),FALSE),0)+IFERROR(VLOOKUP($B24,'RA4-Tracks_Roads'!$A$11:$BN$18,MATCH(Summary!AV$1,'RA4-Tracks_Roads'!$A$9:$BN$9,1),FALSE),0)+IFERROR(VLOOKUP($B24,'RA5-ROM'!$A$11:$BN$18,MATCH(Summary!AV$1,'RA5-ROM'!$A$9:$BN$9,1),FALSE),0)+IFERROR(VLOOKUP($B24,'RA6-CHPP'!$A$11:$BN$18,MATCH(Summary!AV$1,'RA6-CHPP'!$A$9:$BN$9,1),FALSE),0)+IFERROR(VLOOKUP($B24,'RA7-Mine Infrastructure Area'!$A$11:$BN$18,MATCH(Summary!AV$1,'RA7-Mine Infrastructure Area'!$A$9:$BN$9,1),FALSE),0)+IFERROR(VLOOKUP($B24,'RA8-Water Management Structures'!$A$11:$BN$18,MATCH(Summary!AV$1,'RA8-Water Management Structures'!$A$9:$BN$9,1),FALSE),0)+IFERROR(VLOOKUP($B24,'RA9-Codisposal Upper'!$A$11:$BN$18,MATCH(Summary!AV$1,'RA9-Codisposal Upper'!$A$9:$BN$9,1),FALSE),0)+IFERROR(VLOOKUP($B24,'RA10-Codisposal Slopes'!$A$11:$BN$18,MATCH(Summary!AV$1,'RA10-Codisposal Slopes'!$A$9:$BN$9,1),FALSE),0)+IFERROR(VLOOKUP($B24,'IA1-Final Void inc Ramps'!$A$11:$BN$18,MATCH(Summary!AV$1,'IA1-Final Void inc Ramps'!$A$9:$BN$9,1),FALSE),0)</f>
        <v>171.6</v>
      </c>
      <c r="AW24" s="51">
        <f>IFERROR(VLOOKUP($B24,'RA1- Elevated Dumps Upper'!$A$11:$BN$18,MATCH(Summary!AW$1,'RA1- Elevated Dumps Upper'!$A$9:$BN$9,1),FALSE),0)+IFERROR(VLOOKUP($B24,'RA2-Elevated Dumps Slopes'!$A$11:$BN$18,MATCH(Summary!AW$1,'RA2-Elevated Dumps Slopes'!$A$9:$BN$9,1),FALSE),0)+IFERROR(VLOOKUP($B24,'RA3-Backfilled Pits'!$A$11:$BN$18,MATCH(Summary!AW$1,'RA3-Backfilled Pits'!$A$9:$BN$9,1),FALSE),0)+IFERROR(VLOOKUP($B24,'RA4-Tracks_Roads'!$A$11:$BN$18,MATCH(Summary!AW$1,'RA4-Tracks_Roads'!$A$9:$BN$9,1),FALSE),0)+IFERROR(VLOOKUP($B24,'RA5-ROM'!$A$11:$BN$18,MATCH(Summary!AW$1,'RA5-ROM'!$A$9:$BN$9,1),FALSE),0)+IFERROR(VLOOKUP($B24,'RA6-CHPP'!$A$11:$BN$18,MATCH(Summary!AW$1,'RA6-CHPP'!$A$9:$BN$9,1),FALSE),0)+IFERROR(VLOOKUP($B24,'RA7-Mine Infrastructure Area'!$A$11:$BN$18,MATCH(Summary!AW$1,'RA7-Mine Infrastructure Area'!$A$9:$BN$9,1),FALSE),0)+IFERROR(VLOOKUP($B24,'RA8-Water Management Structures'!$A$11:$BN$18,MATCH(Summary!AW$1,'RA8-Water Management Structures'!$A$9:$BN$9,1),FALSE),0)+IFERROR(VLOOKUP($B24,'RA9-Codisposal Upper'!$A$11:$BN$18,MATCH(Summary!AW$1,'RA9-Codisposal Upper'!$A$9:$BN$9,1),FALSE),0)+IFERROR(VLOOKUP($B24,'RA10-Codisposal Slopes'!$A$11:$BN$18,MATCH(Summary!AW$1,'RA10-Codisposal Slopes'!$A$9:$BN$9,1),FALSE),0)+IFERROR(VLOOKUP($B24,'IA1-Final Void inc Ramps'!$A$11:$BN$18,MATCH(Summary!AW$1,'IA1-Final Void inc Ramps'!$A$9:$BN$9,1),FALSE),0)</f>
        <v>171.6</v>
      </c>
      <c r="AX24" s="51">
        <f>IFERROR(VLOOKUP($B24,'RA1- Elevated Dumps Upper'!$A$11:$BN$18,MATCH(Summary!AX$1,'RA1- Elevated Dumps Upper'!$A$9:$BN$9,1),FALSE),0)+IFERROR(VLOOKUP($B24,'RA2-Elevated Dumps Slopes'!$A$11:$BN$18,MATCH(Summary!AX$1,'RA2-Elevated Dumps Slopes'!$A$9:$BN$9,1),FALSE),0)+IFERROR(VLOOKUP($B24,'RA3-Backfilled Pits'!$A$11:$BN$18,MATCH(Summary!AX$1,'RA3-Backfilled Pits'!$A$9:$BN$9,1),FALSE),0)+IFERROR(VLOOKUP($B24,'RA4-Tracks_Roads'!$A$11:$BN$18,MATCH(Summary!AX$1,'RA4-Tracks_Roads'!$A$9:$BN$9,1),FALSE),0)+IFERROR(VLOOKUP($B24,'RA5-ROM'!$A$11:$BN$18,MATCH(Summary!AX$1,'RA5-ROM'!$A$9:$BN$9,1),FALSE),0)+IFERROR(VLOOKUP($B24,'RA6-CHPP'!$A$11:$BN$18,MATCH(Summary!AX$1,'RA6-CHPP'!$A$9:$BN$9,1),FALSE),0)+IFERROR(VLOOKUP($B24,'RA7-Mine Infrastructure Area'!$A$11:$BN$18,MATCH(Summary!AX$1,'RA7-Mine Infrastructure Area'!$A$9:$BN$9,1),FALSE),0)+IFERROR(VLOOKUP($B24,'RA8-Water Management Structures'!$A$11:$BN$18,MATCH(Summary!AX$1,'RA8-Water Management Structures'!$A$9:$BN$9,1),FALSE),0)+IFERROR(VLOOKUP($B24,'RA9-Codisposal Upper'!$A$11:$BN$18,MATCH(Summary!AX$1,'RA9-Codisposal Upper'!$A$9:$BN$9,1),FALSE),0)+IFERROR(VLOOKUP($B24,'RA10-Codisposal Slopes'!$A$11:$BN$18,MATCH(Summary!AX$1,'RA10-Codisposal Slopes'!$A$9:$BN$9,1),FALSE),0)+IFERROR(VLOOKUP($B24,'IA1-Final Void inc Ramps'!$A$11:$BN$18,MATCH(Summary!AX$1,'IA1-Final Void inc Ramps'!$A$9:$BN$9,1),FALSE),0)</f>
        <v>171.6</v>
      </c>
      <c r="AY24" s="51">
        <f>IFERROR(VLOOKUP($B24,'RA1- Elevated Dumps Upper'!$A$11:$BN$18,MATCH(Summary!AY$1,'RA1- Elevated Dumps Upper'!$A$9:$BN$9,1),FALSE),0)+IFERROR(VLOOKUP($B24,'RA2-Elevated Dumps Slopes'!$A$11:$BN$18,MATCH(Summary!AY$1,'RA2-Elevated Dumps Slopes'!$A$9:$BN$9,1),FALSE),0)+IFERROR(VLOOKUP($B24,'RA3-Backfilled Pits'!$A$11:$BN$18,MATCH(Summary!AY$1,'RA3-Backfilled Pits'!$A$9:$BN$9,1),FALSE),0)+IFERROR(VLOOKUP($B24,'RA4-Tracks_Roads'!$A$11:$BN$18,MATCH(Summary!AY$1,'RA4-Tracks_Roads'!$A$9:$BN$9,1),FALSE),0)+IFERROR(VLOOKUP($B24,'RA5-ROM'!$A$11:$BN$18,MATCH(Summary!AY$1,'RA5-ROM'!$A$9:$BN$9,1),FALSE),0)+IFERROR(VLOOKUP($B24,'RA6-CHPP'!$A$11:$BN$18,MATCH(Summary!AY$1,'RA6-CHPP'!$A$9:$BN$9,1),FALSE),0)+IFERROR(VLOOKUP($B24,'RA7-Mine Infrastructure Area'!$A$11:$BN$18,MATCH(Summary!AY$1,'RA7-Mine Infrastructure Area'!$A$9:$BN$9,1),FALSE),0)+IFERROR(VLOOKUP($B24,'RA8-Water Management Structures'!$A$11:$BN$18,MATCH(Summary!AY$1,'RA8-Water Management Structures'!$A$9:$BN$9,1),FALSE),0)+IFERROR(VLOOKUP($B24,'RA9-Codisposal Upper'!$A$11:$BN$18,MATCH(Summary!AY$1,'RA9-Codisposal Upper'!$A$9:$BN$9,1),FALSE),0)+IFERROR(VLOOKUP($B24,'RA10-Codisposal Slopes'!$A$11:$BN$18,MATCH(Summary!AY$1,'RA10-Codisposal Slopes'!$A$9:$BN$9,1),FALSE),0)+IFERROR(VLOOKUP($B24,'IA1-Final Void inc Ramps'!$A$11:$BN$18,MATCH(Summary!AY$1,'IA1-Final Void inc Ramps'!$A$9:$BN$9,1),FALSE),0)</f>
        <v>171.6</v>
      </c>
      <c r="AZ24" s="51">
        <f>IFERROR(VLOOKUP($B24,'RA1- Elevated Dumps Upper'!$A$11:$BN$18,MATCH(Summary!AZ$1,'RA1- Elevated Dumps Upper'!$A$9:$BN$9,1),FALSE),0)+IFERROR(VLOOKUP($B24,'RA2-Elevated Dumps Slopes'!$A$11:$BN$18,MATCH(Summary!AZ$1,'RA2-Elevated Dumps Slopes'!$A$9:$BN$9,1),FALSE),0)+IFERROR(VLOOKUP($B24,'RA3-Backfilled Pits'!$A$11:$BN$18,MATCH(Summary!AZ$1,'RA3-Backfilled Pits'!$A$9:$BN$9,1),FALSE),0)+IFERROR(VLOOKUP($B24,'RA4-Tracks_Roads'!$A$11:$BN$18,MATCH(Summary!AZ$1,'RA4-Tracks_Roads'!$A$9:$BN$9,1),FALSE),0)+IFERROR(VLOOKUP($B24,'RA5-ROM'!$A$11:$BN$18,MATCH(Summary!AZ$1,'RA5-ROM'!$A$9:$BN$9,1),FALSE),0)+IFERROR(VLOOKUP($B24,'RA6-CHPP'!$A$11:$BN$18,MATCH(Summary!AZ$1,'RA6-CHPP'!$A$9:$BN$9,1),FALSE),0)+IFERROR(VLOOKUP($B24,'RA7-Mine Infrastructure Area'!$A$11:$BN$18,MATCH(Summary!AZ$1,'RA7-Mine Infrastructure Area'!$A$9:$BN$9,1),FALSE),0)+IFERROR(VLOOKUP($B24,'RA8-Water Management Structures'!$A$11:$BN$18,MATCH(Summary!AZ$1,'RA8-Water Management Structures'!$A$9:$BN$9,1),FALSE),0)+IFERROR(VLOOKUP($B24,'RA9-Codisposal Upper'!$A$11:$BN$18,MATCH(Summary!AZ$1,'RA9-Codisposal Upper'!$A$9:$BN$9,1),FALSE),0)+IFERROR(VLOOKUP($B24,'RA10-Codisposal Slopes'!$A$11:$BN$18,MATCH(Summary!AZ$1,'RA10-Codisposal Slopes'!$A$9:$BN$9,1),FALSE),0)+IFERROR(VLOOKUP($B24,'IA1-Final Void inc Ramps'!$A$11:$BN$18,MATCH(Summary!AZ$1,'IA1-Final Void inc Ramps'!$A$9:$BN$9,1),FALSE),0)</f>
        <v>171.6</v>
      </c>
      <c r="BA24" s="51">
        <f>IFERROR(VLOOKUP($B24,'RA1- Elevated Dumps Upper'!$A$11:$BN$18,MATCH(Summary!BA$1,'RA1- Elevated Dumps Upper'!$A$9:$BN$9,1),FALSE),0)+IFERROR(VLOOKUP($B24,'RA2-Elevated Dumps Slopes'!$A$11:$BN$18,MATCH(Summary!BA$1,'RA2-Elevated Dumps Slopes'!$A$9:$BN$9,1),FALSE),0)+IFERROR(VLOOKUP($B24,'RA3-Backfilled Pits'!$A$11:$BN$18,MATCH(Summary!BA$1,'RA3-Backfilled Pits'!$A$9:$BN$9,1),FALSE),0)+IFERROR(VLOOKUP($B24,'RA4-Tracks_Roads'!$A$11:$BN$18,MATCH(Summary!BA$1,'RA4-Tracks_Roads'!$A$9:$BN$9,1),FALSE),0)+IFERROR(VLOOKUP($B24,'RA5-ROM'!$A$11:$BN$18,MATCH(Summary!BA$1,'RA5-ROM'!$A$9:$BN$9,1),FALSE),0)+IFERROR(VLOOKUP($B24,'RA6-CHPP'!$A$11:$BN$18,MATCH(Summary!BA$1,'RA6-CHPP'!$A$9:$BN$9,1),FALSE),0)+IFERROR(VLOOKUP($B24,'RA7-Mine Infrastructure Area'!$A$11:$BN$18,MATCH(Summary!BA$1,'RA7-Mine Infrastructure Area'!$A$9:$BN$9,1),FALSE),0)+IFERROR(VLOOKUP($B24,'RA8-Water Management Structures'!$A$11:$BN$18,MATCH(Summary!BA$1,'RA8-Water Management Structures'!$A$9:$BN$9,1),FALSE),0)+IFERROR(VLOOKUP($B24,'RA9-Codisposal Upper'!$A$11:$BN$18,MATCH(Summary!BA$1,'RA9-Codisposal Upper'!$A$9:$BN$9,1),FALSE),0)+IFERROR(VLOOKUP($B24,'RA10-Codisposal Slopes'!$A$11:$BN$18,MATCH(Summary!BA$1,'RA10-Codisposal Slopes'!$A$9:$BN$9,1),FALSE),0)+IFERROR(VLOOKUP($B24,'IA1-Final Void inc Ramps'!$A$11:$BN$18,MATCH(Summary!BA$1,'IA1-Final Void inc Ramps'!$A$9:$BN$9,1),FALSE),0)</f>
        <v>171.6</v>
      </c>
      <c r="BB24" s="51">
        <f>IFERROR(VLOOKUP($B24,'RA1- Elevated Dumps Upper'!$A$11:$BN$18,MATCH(Summary!BB$1,'RA1- Elevated Dumps Upper'!$A$9:$BN$9,1),FALSE),0)+IFERROR(VLOOKUP($B24,'RA2-Elevated Dumps Slopes'!$A$11:$BN$18,MATCH(Summary!BB$1,'RA2-Elevated Dumps Slopes'!$A$9:$BN$9,1),FALSE),0)+IFERROR(VLOOKUP($B24,'RA3-Backfilled Pits'!$A$11:$BN$18,MATCH(Summary!BB$1,'RA3-Backfilled Pits'!$A$9:$BN$9,1),FALSE),0)+IFERROR(VLOOKUP($B24,'RA4-Tracks_Roads'!$A$11:$BN$18,MATCH(Summary!BB$1,'RA4-Tracks_Roads'!$A$9:$BN$9,1),FALSE),0)+IFERROR(VLOOKUP($B24,'RA5-ROM'!$A$11:$BN$18,MATCH(Summary!BB$1,'RA5-ROM'!$A$9:$BN$9,1),FALSE),0)+IFERROR(VLOOKUP($B24,'RA6-CHPP'!$A$11:$BN$18,MATCH(Summary!BB$1,'RA6-CHPP'!$A$9:$BN$9,1),FALSE),0)+IFERROR(VLOOKUP($B24,'RA7-Mine Infrastructure Area'!$A$11:$BN$18,MATCH(Summary!BB$1,'RA7-Mine Infrastructure Area'!$A$9:$BN$9,1),FALSE),0)+IFERROR(VLOOKUP($B24,'RA8-Water Management Structures'!$A$11:$BN$18,MATCH(Summary!BB$1,'RA8-Water Management Structures'!$A$9:$BN$9,1),FALSE),0)+IFERROR(VLOOKUP($B24,'RA9-Codisposal Upper'!$A$11:$BN$18,MATCH(Summary!BB$1,'RA9-Codisposal Upper'!$A$9:$BN$9,1),FALSE),0)+IFERROR(VLOOKUP($B24,'RA10-Codisposal Slopes'!$A$11:$BN$18,MATCH(Summary!BB$1,'RA10-Codisposal Slopes'!$A$9:$BN$9,1),FALSE),0)+IFERROR(VLOOKUP($B24,'IA1-Final Void inc Ramps'!$A$11:$BN$18,MATCH(Summary!BB$1,'IA1-Final Void inc Ramps'!$A$9:$BN$9,1),FALSE),0)</f>
        <v>171.6</v>
      </c>
      <c r="BC24" s="51">
        <f>IFERROR(VLOOKUP($B24,'RA1- Elevated Dumps Upper'!$A$11:$BN$18,MATCH(Summary!BC$1,'RA1- Elevated Dumps Upper'!$A$9:$BN$9,1),FALSE),0)+IFERROR(VLOOKUP($B24,'RA2-Elevated Dumps Slopes'!$A$11:$BN$18,MATCH(Summary!BC$1,'RA2-Elevated Dumps Slopes'!$A$9:$BN$9,1),FALSE),0)+IFERROR(VLOOKUP($B24,'RA3-Backfilled Pits'!$A$11:$BN$18,MATCH(Summary!BC$1,'RA3-Backfilled Pits'!$A$9:$BN$9,1),FALSE),0)+IFERROR(VLOOKUP($B24,'RA4-Tracks_Roads'!$A$11:$BN$18,MATCH(Summary!BC$1,'RA4-Tracks_Roads'!$A$9:$BN$9,1),FALSE),0)+IFERROR(VLOOKUP($B24,'RA5-ROM'!$A$11:$BN$18,MATCH(Summary!BC$1,'RA5-ROM'!$A$9:$BN$9,1),FALSE),0)+IFERROR(VLOOKUP($B24,'RA6-CHPP'!$A$11:$BN$18,MATCH(Summary!BC$1,'RA6-CHPP'!$A$9:$BN$9,1),FALSE),0)+IFERROR(VLOOKUP($B24,'RA7-Mine Infrastructure Area'!$A$11:$BN$18,MATCH(Summary!BC$1,'RA7-Mine Infrastructure Area'!$A$9:$BN$9,1),FALSE),0)+IFERROR(VLOOKUP($B24,'RA8-Water Management Structures'!$A$11:$BN$18,MATCH(Summary!BC$1,'RA8-Water Management Structures'!$A$9:$BN$9,1),FALSE),0)+IFERROR(VLOOKUP($B24,'RA9-Codisposal Upper'!$A$11:$BN$18,MATCH(Summary!BC$1,'RA9-Codisposal Upper'!$A$9:$BN$9,1),FALSE),0)+IFERROR(VLOOKUP($B24,'RA10-Codisposal Slopes'!$A$11:$BN$18,MATCH(Summary!BC$1,'RA10-Codisposal Slopes'!$A$9:$BN$9,1),FALSE),0)+IFERROR(VLOOKUP($B24,'IA1-Final Void inc Ramps'!$A$11:$BN$18,MATCH(Summary!BC$1,'IA1-Final Void inc Ramps'!$A$9:$BN$9,1),FALSE),0)</f>
        <v>171.6</v>
      </c>
      <c r="BD24" s="51">
        <f>IFERROR(VLOOKUP($B24,'RA1- Elevated Dumps Upper'!$A$11:$BN$18,MATCH(Summary!BD$1,'RA1- Elevated Dumps Upper'!$A$9:$BN$9,1),FALSE),0)+IFERROR(VLOOKUP($B24,'RA2-Elevated Dumps Slopes'!$A$11:$BN$18,MATCH(Summary!BD$1,'RA2-Elevated Dumps Slopes'!$A$9:$BN$9,1),FALSE),0)+IFERROR(VLOOKUP($B24,'RA3-Backfilled Pits'!$A$11:$BN$18,MATCH(Summary!BD$1,'RA3-Backfilled Pits'!$A$9:$BN$9,1),FALSE),0)+IFERROR(VLOOKUP($B24,'RA4-Tracks_Roads'!$A$11:$BN$18,MATCH(Summary!BD$1,'RA4-Tracks_Roads'!$A$9:$BN$9,1),FALSE),0)+IFERROR(VLOOKUP($B24,'RA5-ROM'!$A$11:$BN$18,MATCH(Summary!BD$1,'RA5-ROM'!$A$9:$BN$9,1),FALSE),0)+IFERROR(VLOOKUP($B24,'RA6-CHPP'!$A$11:$BN$18,MATCH(Summary!BD$1,'RA6-CHPP'!$A$9:$BN$9,1),FALSE),0)+IFERROR(VLOOKUP($B24,'RA7-Mine Infrastructure Area'!$A$11:$BN$18,MATCH(Summary!BD$1,'RA7-Mine Infrastructure Area'!$A$9:$BN$9,1),FALSE),0)+IFERROR(VLOOKUP($B24,'RA8-Water Management Structures'!$A$11:$BN$18,MATCH(Summary!BD$1,'RA8-Water Management Structures'!$A$9:$BN$9,1),FALSE),0)+IFERROR(VLOOKUP($B24,'RA9-Codisposal Upper'!$A$11:$BN$18,MATCH(Summary!BD$1,'RA9-Codisposal Upper'!$A$9:$BN$9,1),FALSE),0)+IFERROR(VLOOKUP($B24,'RA10-Codisposal Slopes'!$A$11:$BN$18,MATCH(Summary!BD$1,'RA10-Codisposal Slopes'!$A$9:$BN$9,1),FALSE),0)+IFERROR(VLOOKUP($B24,'IA1-Final Void inc Ramps'!$A$11:$BN$18,MATCH(Summary!BD$1,'IA1-Final Void inc Ramps'!$A$9:$BN$9,1),FALSE),0)</f>
        <v>171.6</v>
      </c>
      <c r="BE24" s="51">
        <f>IFERROR(VLOOKUP($B24,'RA1- Elevated Dumps Upper'!$A$11:$BN$18,MATCH(Summary!BE$1,'RA1- Elevated Dumps Upper'!$A$9:$BN$9,1),FALSE),0)+IFERROR(VLOOKUP($B24,'RA2-Elevated Dumps Slopes'!$A$11:$BN$18,MATCH(Summary!BE$1,'RA2-Elevated Dumps Slopes'!$A$9:$BN$9,1),FALSE),0)+IFERROR(VLOOKUP($B24,'RA3-Backfilled Pits'!$A$11:$BN$18,MATCH(Summary!BE$1,'RA3-Backfilled Pits'!$A$9:$BN$9,1),FALSE),0)+IFERROR(VLOOKUP($B24,'RA4-Tracks_Roads'!$A$11:$BN$18,MATCH(Summary!BE$1,'RA4-Tracks_Roads'!$A$9:$BN$9,1),FALSE),0)+IFERROR(VLOOKUP($B24,'RA5-ROM'!$A$11:$BN$18,MATCH(Summary!BE$1,'RA5-ROM'!$A$9:$BN$9,1),FALSE),0)+IFERROR(VLOOKUP($B24,'RA6-CHPP'!$A$11:$BN$18,MATCH(Summary!BE$1,'RA6-CHPP'!$A$9:$BN$9,1),FALSE),0)+IFERROR(VLOOKUP($B24,'RA7-Mine Infrastructure Area'!$A$11:$BN$18,MATCH(Summary!BE$1,'RA7-Mine Infrastructure Area'!$A$9:$BN$9,1),FALSE),0)+IFERROR(VLOOKUP($B24,'RA8-Water Management Structures'!$A$11:$BN$18,MATCH(Summary!BE$1,'RA8-Water Management Structures'!$A$9:$BN$9,1),FALSE),0)+IFERROR(VLOOKUP($B24,'RA9-Codisposal Upper'!$A$11:$BN$18,MATCH(Summary!BE$1,'RA9-Codisposal Upper'!$A$9:$BN$9,1),FALSE),0)+IFERROR(VLOOKUP($B24,'RA10-Codisposal Slopes'!$A$11:$BN$18,MATCH(Summary!BE$1,'RA10-Codisposal Slopes'!$A$9:$BN$9,1),FALSE),0)+IFERROR(VLOOKUP($B24,'IA1-Final Void inc Ramps'!$A$11:$BN$18,MATCH(Summary!BE$1,'IA1-Final Void inc Ramps'!$A$9:$BN$9,1),FALSE),0)</f>
        <v>171.6</v>
      </c>
      <c r="BF24" s="51">
        <f>IFERROR(VLOOKUP($B24,'RA1- Elevated Dumps Upper'!$A$11:$BN$18,MATCH(Summary!BF$1,'RA1- Elevated Dumps Upper'!$A$9:$BN$9,1),FALSE),0)+IFERROR(VLOOKUP($B24,'RA2-Elevated Dumps Slopes'!$A$11:$BN$18,MATCH(Summary!BF$1,'RA2-Elevated Dumps Slopes'!$A$9:$BN$9,1),FALSE),0)+IFERROR(VLOOKUP($B24,'RA3-Backfilled Pits'!$A$11:$BN$18,MATCH(Summary!BF$1,'RA3-Backfilled Pits'!$A$9:$BN$9,1),FALSE),0)+IFERROR(VLOOKUP($B24,'RA4-Tracks_Roads'!$A$11:$BN$18,MATCH(Summary!BF$1,'RA4-Tracks_Roads'!$A$9:$BN$9,1),FALSE),0)+IFERROR(VLOOKUP($B24,'RA5-ROM'!$A$11:$BN$18,MATCH(Summary!BF$1,'RA5-ROM'!$A$9:$BN$9,1),FALSE),0)+IFERROR(VLOOKUP($B24,'RA6-CHPP'!$A$11:$BN$18,MATCH(Summary!BF$1,'RA6-CHPP'!$A$9:$BN$9,1),FALSE),0)+IFERROR(VLOOKUP($B24,'RA7-Mine Infrastructure Area'!$A$11:$BN$18,MATCH(Summary!BF$1,'RA7-Mine Infrastructure Area'!$A$9:$BN$9,1),FALSE),0)+IFERROR(VLOOKUP($B24,'RA8-Water Management Structures'!$A$11:$BN$18,MATCH(Summary!BF$1,'RA8-Water Management Structures'!$A$9:$BN$9,1),FALSE),0)+IFERROR(VLOOKUP($B24,'RA9-Codisposal Upper'!$A$11:$BN$18,MATCH(Summary!BF$1,'RA9-Codisposal Upper'!$A$9:$BN$9,1),FALSE),0)+IFERROR(VLOOKUP($B24,'RA10-Codisposal Slopes'!$A$11:$BN$18,MATCH(Summary!BF$1,'RA10-Codisposal Slopes'!$A$9:$BN$9,1),FALSE),0)+IFERROR(VLOOKUP($B24,'IA1-Final Void inc Ramps'!$A$11:$BN$18,MATCH(Summary!BF$1,'IA1-Final Void inc Ramps'!$A$9:$BN$9,1),FALSE),0)</f>
        <v>171.6</v>
      </c>
      <c r="BG24" s="51">
        <f>IFERROR(VLOOKUP($B24,'RA1- Elevated Dumps Upper'!$A$11:$BN$18,MATCH(Summary!BG$1,'RA1- Elevated Dumps Upper'!$A$9:$BN$9,1),FALSE),0)+IFERROR(VLOOKUP($B24,'RA2-Elevated Dumps Slopes'!$A$11:$BN$18,MATCH(Summary!BG$1,'RA2-Elevated Dumps Slopes'!$A$9:$BN$9,1),FALSE),0)+IFERROR(VLOOKUP($B24,'RA3-Backfilled Pits'!$A$11:$BN$18,MATCH(Summary!BG$1,'RA3-Backfilled Pits'!$A$9:$BN$9,1),FALSE),0)+IFERROR(VLOOKUP($B24,'RA4-Tracks_Roads'!$A$11:$BN$18,MATCH(Summary!BG$1,'RA4-Tracks_Roads'!$A$9:$BN$9,1),FALSE),0)+IFERROR(VLOOKUP($B24,'RA5-ROM'!$A$11:$BN$18,MATCH(Summary!BG$1,'RA5-ROM'!$A$9:$BN$9,1),FALSE),0)+IFERROR(VLOOKUP($B24,'RA6-CHPP'!$A$11:$BN$18,MATCH(Summary!BG$1,'RA6-CHPP'!$A$9:$BN$9,1),FALSE),0)+IFERROR(VLOOKUP($B24,'RA7-Mine Infrastructure Area'!$A$11:$BN$18,MATCH(Summary!BG$1,'RA7-Mine Infrastructure Area'!$A$9:$BN$9,1),FALSE),0)+IFERROR(VLOOKUP($B24,'RA8-Water Management Structures'!$A$11:$BN$18,MATCH(Summary!BG$1,'RA8-Water Management Structures'!$A$9:$BN$9,1),FALSE),0)+IFERROR(VLOOKUP($B24,'RA9-Codisposal Upper'!$A$11:$BN$18,MATCH(Summary!BG$1,'RA9-Codisposal Upper'!$A$9:$BN$9,1),FALSE),0)+IFERROR(VLOOKUP($B24,'RA10-Codisposal Slopes'!$A$11:$BN$18,MATCH(Summary!BG$1,'RA10-Codisposal Slopes'!$A$9:$BN$9,1),FALSE),0)+IFERROR(VLOOKUP($B24,'IA1-Final Void inc Ramps'!$A$11:$BN$18,MATCH(Summary!BG$1,'IA1-Final Void inc Ramps'!$A$9:$BN$9,1),FALSE),0)</f>
        <v>171.6</v>
      </c>
      <c r="BH24" s="51">
        <f>IFERROR(VLOOKUP($B24,'RA1- Elevated Dumps Upper'!$A$11:$BN$18,MATCH(Summary!BH$1,'RA1- Elevated Dumps Upper'!$A$9:$BN$9,1),FALSE),0)+IFERROR(VLOOKUP($B24,'RA2-Elevated Dumps Slopes'!$A$11:$BN$18,MATCH(Summary!BH$1,'RA2-Elevated Dumps Slopes'!$A$9:$BN$9,1),FALSE),0)+IFERROR(VLOOKUP($B24,'RA3-Backfilled Pits'!$A$11:$BN$18,MATCH(Summary!BH$1,'RA3-Backfilled Pits'!$A$9:$BN$9,1),FALSE),0)+IFERROR(VLOOKUP($B24,'RA4-Tracks_Roads'!$A$11:$BN$18,MATCH(Summary!BH$1,'RA4-Tracks_Roads'!$A$9:$BN$9,1),FALSE),0)+IFERROR(VLOOKUP($B24,'RA5-ROM'!$A$11:$BN$18,MATCH(Summary!BH$1,'RA5-ROM'!$A$9:$BN$9,1),FALSE),0)+IFERROR(VLOOKUP($B24,'RA6-CHPP'!$A$11:$BN$18,MATCH(Summary!BH$1,'RA6-CHPP'!$A$9:$BN$9,1),FALSE),0)+IFERROR(VLOOKUP($B24,'RA7-Mine Infrastructure Area'!$A$11:$BN$18,MATCH(Summary!BH$1,'RA7-Mine Infrastructure Area'!$A$9:$BN$9,1),FALSE),0)+IFERROR(VLOOKUP($B24,'RA8-Water Management Structures'!$A$11:$BN$18,MATCH(Summary!BH$1,'RA8-Water Management Structures'!$A$9:$BN$9,1),FALSE),0)+IFERROR(VLOOKUP($B24,'RA9-Codisposal Upper'!$A$11:$BN$18,MATCH(Summary!BH$1,'RA9-Codisposal Upper'!$A$9:$BN$9,1),FALSE),0)+IFERROR(VLOOKUP($B24,'RA10-Codisposal Slopes'!$A$11:$BN$18,MATCH(Summary!BH$1,'RA10-Codisposal Slopes'!$A$9:$BN$9,1),FALSE),0)+IFERROR(VLOOKUP($B24,'IA1-Final Void inc Ramps'!$A$11:$BN$18,MATCH(Summary!BH$1,'IA1-Final Void inc Ramps'!$A$9:$BN$9,1),FALSE),0)</f>
        <v>171.6</v>
      </c>
      <c r="BI24" s="51">
        <f>IFERROR(VLOOKUP($B24,'RA1- Elevated Dumps Upper'!$A$11:$BN$18,MATCH(Summary!BI$1,'RA1- Elevated Dumps Upper'!$A$9:$BN$9,1),FALSE),0)+IFERROR(VLOOKUP($B24,'RA2-Elevated Dumps Slopes'!$A$11:$BN$18,MATCH(Summary!BI$1,'RA2-Elevated Dumps Slopes'!$A$9:$BN$9,1),FALSE),0)+IFERROR(VLOOKUP($B24,'RA3-Backfilled Pits'!$A$11:$BN$18,MATCH(Summary!BI$1,'RA3-Backfilled Pits'!$A$9:$BN$9,1),FALSE),0)+IFERROR(VLOOKUP($B24,'RA4-Tracks_Roads'!$A$11:$BN$18,MATCH(Summary!BI$1,'RA4-Tracks_Roads'!$A$9:$BN$9,1),FALSE),0)+IFERROR(VLOOKUP($B24,'RA5-ROM'!$A$11:$BN$18,MATCH(Summary!BI$1,'RA5-ROM'!$A$9:$BN$9,1),FALSE),0)+IFERROR(VLOOKUP($B24,'RA6-CHPP'!$A$11:$BN$18,MATCH(Summary!BI$1,'RA6-CHPP'!$A$9:$BN$9,1),FALSE),0)+IFERROR(VLOOKUP($B24,'RA7-Mine Infrastructure Area'!$A$11:$BN$18,MATCH(Summary!BI$1,'RA7-Mine Infrastructure Area'!$A$9:$BN$9,1),FALSE),0)+IFERROR(VLOOKUP($B24,'RA8-Water Management Structures'!$A$11:$BN$18,MATCH(Summary!BI$1,'RA8-Water Management Structures'!$A$9:$BN$9,1),FALSE),0)+IFERROR(VLOOKUP($B24,'RA9-Codisposal Upper'!$A$11:$BN$18,MATCH(Summary!BI$1,'RA9-Codisposal Upper'!$A$9:$BN$9,1),FALSE),0)+IFERROR(VLOOKUP($B24,'RA10-Codisposal Slopes'!$A$11:$BN$18,MATCH(Summary!BI$1,'RA10-Codisposal Slopes'!$A$9:$BN$9,1),FALSE),0)+IFERROR(VLOOKUP($B24,'IA1-Final Void inc Ramps'!$A$11:$BN$18,MATCH(Summary!BI$1,'IA1-Final Void inc Ramps'!$A$9:$BN$9,1),FALSE),0)</f>
        <v>171.6</v>
      </c>
      <c r="BJ24" s="51">
        <f>IFERROR(VLOOKUP($B24,'RA1- Elevated Dumps Upper'!$A$11:$BN$18,MATCH(Summary!BJ$1,'RA1- Elevated Dumps Upper'!$A$9:$BN$9,1),FALSE),0)+IFERROR(VLOOKUP($B24,'RA2-Elevated Dumps Slopes'!$A$11:$BN$18,MATCH(Summary!BJ$1,'RA2-Elevated Dumps Slopes'!$A$9:$BN$9,1),FALSE),0)+IFERROR(VLOOKUP($B24,'RA3-Backfilled Pits'!$A$11:$BN$18,MATCH(Summary!BJ$1,'RA3-Backfilled Pits'!$A$9:$BN$9,1),FALSE),0)+IFERROR(VLOOKUP($B24,'RA4-Tracks_Roads'!$A$11:$BN$18,MATCH(Summary!BJ$1,'RA4-Tracks_Roads'!$A$9:$BN$9,1),FALSE),0)+IFERROR(VLOOKUP($B24,'RA5-ROM'!$A$11:$BN$18,MATCH(Summary!BJ$1,'RA5-ROM'!$A$9:$BN$9,1),FALSE),0)+IFERROR(VLOOKUP($B24,'RA6-CHPP'!$A$11:$BN$18,MATCH(Summary!BJ$1,'RA6-CHPP'!$A$9:$BN$9,1),FALSE),0)+IFERROR(VLOOKUP($B24,'RA7-Mine Infrastructure Area'!$A$11:$BN$18,MATCH(Summary!BJ$1,'RA7-Mine Infrastructure Area'!$A$9:$BN$9,1),FALSE),0)+IFERROR(VLOOKUP($B24,'RA8-Water Management Structures'!$A$11:$BN$18,MATCH(Summary!BJ$1,'RA8-Water Management Structures'!$A$9:$BN$9,1),FALSE),0)+IFERROR(VLOOKUP($B24,'RA9-Codisposal Upper'!$A$11:$BN$18,MATCH(Summary!BJ$1,'RA9-Codisposal Upper'!$A$9:$BN$9,1),FALSE),0)+IFERROR(VLOOKUP($B24,'RA10-Codisposal Slopes'!$A$11:$BN$18,MATCH(Summary!BJ$1,'RA10-Codisposal Slopes'!$A$9:$BN$9,1),FALSE),0)+IFERROR(VLOOKUP($B24,'IA1-Final Void inc Ramps'!$A$11:$BN$18,MATCH(Summary!BJ$1,'IA1-Final Void inc Ramps'!$A$9:$BN$9,1),FALSE),0)</f>
        <v>171.6</v>
      </c>
      <c r="BK24" s="51">
        <f>IFERROR(VLOOKUP($B24,'RA1- Elevated Dumps Upper'!$A$11:$BN$18,MATCH(Summary!BK$1,'RA1- Elevated Dumps Upper'!$A$9:$BN$9,1),FALSE),0)+IFERROR(VLOOKUP($B24,'RA2-Elevated Dumps Slopes'!$A$11:$BN$18,MATCH(Summary!BK$1,'RA2-Elevated Dumps Slopes'!$A$9:$BN$9,1),FALSE),0)+IFERROR(VLOOKUP($B24,'RA3-Backfilled Pits'!$A$11:$BN$18,MATCH(Summary!BK$1,'RA3-Backfilled Pits'!$A$9:$BN$9,1),FALSE),0)+IFERROR(VLOOKUP($B24,'RA4-Tracks_Roads'!$A$11:$BN$18,MATCH(Summary!BK$1,'RA4-Tracks_Roads'!$A$9:$BN$9,1),FALSE),0)+IFERROR(VLOOKUP($B24,'RA5-ROM'!$A$11:$BN$18,MATCH(Summary!BK$1,'RA5-ROM'!$A$9:$BN$9,1),FALSE),0)+IFERROR(VLOOKUP($B24,'RA6-CHPP'!$A$11:$BN$18,MATCH(Summary!BK$1,'RA6-CHPP'!$A$9:$BN$9,1),FALSE),0)+IFERROR(VLOOKUP($B24,'RA7-Mine Infrastructure Area'!$A$11:$BN$18,MATCH(Summary!BK$1,'RA7-Mine Infrastructure Area'!$A$9:$BN$9,1),FALSE),0)+IFERROR(VLOOKUP($B24,'RA8-Water Management Structures'!$A$11:$BN$18,MATCH(Summary!BK$1,'RA8-Water Management Structures'!$A$9:$BN$9,1),FALSE),0)+IFERROR(VLOOKUP($B24,'RA9-Codisposal Upper'!$A$11:$BN$18,MATCH(Summary!BK$1,'RA9-Codisposal Upper'!$A$9:$BN$9,1),FALSE),0)+IFERROR(VLOOKUP($B24,'RA10-Codisposal Slopes'!$A$11:$BN$18,MATCH(Summary!BK$1,'RA10-Codisposal Slopes'!$A$9:$BN$9,1),FALSE),0)+IFERROR(VLOOKUP($B24,'IA1-Final Void inc Ramps'!$A$11:$BN$18,MATCH(Summary!BK$1,'IA1-Final Void inc Ramps'!$A$9:$BN$9,1),FALSE),0)</f>
        <v>171.6</v>
      </c>
      <c r="BL24" s="51">
        <f>IFERROR(VLOOKUP($B24,'RA1- Elevated Dumps Upper'!$A$11:$BN$18,MATCH(Summary!BL$1,'RA1- Elevated Dumps Upper'!$A$9:$BN$9,1),FALSE),0)+IFERROR(VLOOKUP($B24,'RA2-Elevated Dumps Slopes'!$A$11:$BN$18,MATCH(Summary!BL$1,'RA2-Elevated Dumps Slopes'!$A$9:$BN$9,1),FALSE),0)+IFERROR(VLOOKUP($B24,'RA3-Backfilled Pits'!$A$11:$BN$18,MATCH(Summary!BL$1,'RA3-Backfilled Pits'!$A$9:$BN$9,1),FALSE),0)+IFERROR(VLOOKUP($B24,'RA4-Tracks_Roads'!$A$11:$BN$18,MATCH(Summary!BL$1,'RA4-Tracks_Roads'!$A$9:$BN$9,1),FALSE),0)+IFERROR(VLOOKUP($B24,'RA5-ROM'!$A$11:$BN$18,MATCH(Summary!BL$1,'RA5-ROM'!$A$9:$BN$9,1),FALSE),0)+IFERROR(VLOOKUP($B24,'RA6-CHPP'!$A$11:$BN$18,MATCH(Summary!BL$1,'RA6-CHPP'!$A$9:$BN$9,1),FALSE),0)+IFERROR(VLOOKUP($B24,'RA7-Mine Infrastructure Area'!$A$11:$BN$18,MATCH(Summary!BL$1,'RA7-Mine Infrastructure Area'!$A$9:$BN$9,1),FALSE),0)+IFERROR(VLOOKUP($B24,'RA8-Water Management Structures'!$A$11:$BN$18,MATCH(Summary!BL$1,'RA8-Water Management Structures'!$A$9:$BN$9,1),FALSE),0)+IFERROR(VLOOKUP($B24,'RA9-Codisposal Upper'!$A$11:$BN$18,MATCH(Summary!BL$1,'RA9-Codisposal Upper'!$A$9:$BN$9,1),FALSE),0)+IFERROR(VLOOKUP($B24,'RA10-Codisposal Slopes'!$A$11:$BN$18,MATCH(Summary!BL$1,'RA10-Codisposal Slopes'!$A$9:$BN$9,1),FALSE),0)+IFERROR(VLOOKUP($B24,'IA1-Final Void inc Ramps'!$A$11:$BN$18,MATCH(Summary!BL$1,'IA1-Final Void inc Ramps'!$A$9:$BN$9,1),FALSE),0)</f>
        <v>171.6</v>
      </c>
      <c r="BM24" s="51">
        <f>IFERROR(VLOOKUP($B24,'RA1- Elevated Dumps Upper'!$A$11:$BN$18,MATCH(Summary!BM$1,'RA1- Elevated Dumps Upper'!$A$9:$BN$9,1),FALSE),0)+IFERROR(VLOOKUP($B24,'RA2-Elevated Dumps Slopes'!$A$11:$BN$18,MATCH(Summary!BM$1,'RA2-Elevated Dumps Slopes'!$A$9:$BN$9,1),FALSE),0)+IFERROR(VLOOKUP($B24,'RA3-Backfilled Pits'!$A$11:$BN$18,MATCH(Summary!BM$1,'RA3-Backfilled Pits'!$A$9:$BN$9,1),FALSE),0)+IFERROR(VLOOKUP($B24,'RA4-Tracks_Roads'!$A$11:$BN$18,MATCH(Summary!BM$1,'RA4-Tracks_Roads'!$A$9:$BN$9,1),FALSE),0)+IFERROR(VLOOKUP($B24,'RA5-ROM'!$A$11:$BN$18,MATCH(Summary!BM$1,'RA5-ROM'!$A$9:$BN$9,1),FALSE),0)+IFERROR(VLOOKUP($B24,'RA6-CHPP'!$A$11:$BN$18,MATCH(Summary!BM$1,'RA6-CHPP'!$A$9:$BN$9,1),FALSE),0)+IFERROR(VLOOKUP($B24,'RA7-Mine Infrastructure Area'!$A$11:$BN$18,MATCH(Summary!BM$1,'RA7-Mine Infrastructure Area'!$A$9:$BN$9,1),FALSE),0)+IFERROR(VLOOKUP($B24,'RA8-Water Management Structures'!$A$11:$BN$18,MATCH(Summary!BM$1,'RA8-Water Management Structures'!$A$9:$BN$9,1),FALSE),0)+IFERROR(VLOOKUP($B24,'RA9-Codisposal Upper'!$A$11:$BN$18,MATCH(Summary!BM$1,'RA9-Codisposal Upper'!$A$9:$BN$9,1),FALSE),0)+IFERROR(VLOOKUP($B24,'RA10-Codisposal Slopes'!$A$11:$BN$18,MATCH(Summary!BM$1,'RA10-Codisposal Slopes'!$A$9:$BN$9,1),FALSE),0)+IFERROR(VLOOKUP($B24,'IA1-Final Void inc Ramps'!$A$11:$BN$18,MATCH(Summary!BM$1,'IA1-Final Void inc Ramps'!$A$9:$BN$9,1),FALSE),0)</f>
        <v>171.6</v>
      </c>
      <c r="BN24" s="51">
        <f>IFERROR(VLOOKUP($B24,'RA1- Elevated Dumps Upper'!$A$11:$BN$18,MATCH(Summary!BN$1,'RA1- Elevated Dumps Upper'!$A$9:$BN$9,1),FALSE),0)+IFERROR(VLOOKUP($B24,'RA2-Elevated Dumps Slopes'!$A$11:$BN$18,MATCH(Summary!BN$1,'RA2-Elevated Dumps Slopes'!$A$9:$BN$9,1),FALSE),0)+IFERROR(VLOOKUP($B24,'RA3-Backfilled Pits'!$A$11:$BN$18,MATCH(Summary!BN$1,'RA3-Backfilled Pits'!$A$9:$BN$9,1),FALSE),0)+IFERROR(VLOOKUP($B24,'RA4-Tracks_Roads'!$A$11:$BN$18,MATCH(Summary!BN$1,'RA4-Tracks_Roads'!$A$9:$BN$9,1),FALSE),0)+IFERROR(VLOOKUP($B24,'RA5-ROM'!$A$11:$BN$18,MATCH(Summary!BN$1,'RA5-ROM'!$A$9:$BN$9,1),FALSE),0)+IFERROR(VLOOKUP($B24,'RA6-CHPP'!$A$11:$BN$18,MATCH(Summary!BN$1,'RA6-CHPP'!$A$9:$BN$9,1),FALSE),0)+IFERROR(VLOOKUP($B24,'RA7-Mine Infrastructure Area'!$A$11:$BN$18,MATCH(Summary!BN$1,'RA7-Mine Infrastructure Area'!$A$9:$BN$9,1),FALSE),0)+IFERROR(VLOOKUP($B24,'RA8-Water Management Structures'!$A$11:$BN$18,MATCH(Summary!BN$1,'RA8-Water Management Structures'!$A$9:$BN$9,1),FALSE),0)+IFERROR(VLOOKUP($B24,'RA9-Codisposal Upper'!$A$11:$BN$18,MATCH(Summary!BN$1,'RA9-Codisposal Upper'!$A$9:$BN$9,1),FALSE),0)+IFERROR(VLOOKUP($B24,'RA10-Codisposal Slopes'!$A$11:$BN$18,MATCH(Summary!BN$1,'RA10-Codisposal Slopes'!$A$9:$BN$9,1),FALSE),0)+IFERROR(VLOOKUP($B24,'IA1-Final Void inc Ramps'!$A$11:$BN$18,MATCH(Summary!BN$1,'IA1-Final Void inc Ramps'!$A$9:$BN$9,1),FALSE),0)</f>
        <v>171.6</v>
      </c>
    </row>
    <row r="25" spans="1:66" x14ac:dyDescent="0.35">
      <c r="B25" t="s">
        <v>18</v>
      </c>
      <c r="D25" s="51">
        <f>IFERROR(VLOOKUP($B25,'RA1- Elevated Dumps Upper'!$A$11:$BN$18,MATCH(Summary!D$1,'RA1- Elevated Dumps Upper'!$A$9:$BN$9,1),FALSE),0)+IFERROR(VLOOKUP($B25,'RA2-Elevated Dumps Slopes'!$A$11:$BN$18,MATCH(Summary!D$1,'RA2-Elevated Dumps Slopes'!$A$9:$BN$9,1),FALSE),0)+IFERROR(VLOOKUP($B25,'RA3-Backfilled Pits'!$A$11:$BN$18,MATCH(Summary!D$1,'RA3-Backfilled Pits'!$A$9:$BN$9,1),FALSE),0)+IFERROR(VLOOKUP($B25,'RA4-Tracks_Roads'!$A$11:$BN$18,MATCH(Summary!D$1,'RA4-Tracks_Roads'!$A$9:$BN$9,1),FALSE),0)+IFERROR(VLOOKUP($B25,'RA5-ROM'!$A$11:$BN$18,MATCH(Summary!D$1,'RA5-ROM'!$A$9:$BN$9,1),FALSE),0)+IFERROR(VLOOKUP($B25,'RA6-CHPP'!$A$11:$BN$18,MATCH(Summary!D$1,'RA6-CHPP'!$A$9:$BN$9,1),FALSE),0)+IFERROR(VLOOKUP($B25,'RA7-Mine Infrastructure Area'!$A$11:$BN$18,MATCH(Summary!D$1,'RA7-Mine Infrastructure Area'!$A$9:$BN$9,1),FALSE),0)+IFERROR(VLOOKUP($B25,'RA8-Water Management Structures'!$A$11:$BN$18,MATCH(Summary!D$1,'RA8-Water Management Structures'!$A$9:$BN$9,1),FALSE),0)+IFERROR(VLOOKUP($B25,'RA9-Codisposal Upper'!$A$11:$BN$18,MATCH(Summary!D$1,'RA9-Codisposal Upper'!$A$9:$BN$9,1),FALSE),0)+IFERROR(VLOOKUP($B25,'RA10-Codisposal Slopes'!$A$11:$BN$18,MATCH(Summary!D$1,'RA10-Codisposal Slopes'!$A$9:$BN$9,1),FALSE),0)+IFERROR(VLOOKUP($B25,'IA1-Final Void inc Ramps'!$A$11:$BN$18,MATCH(Summary!D$1,'IA1-Final Void inc Ramps'!$A$9:$BN$9,1),FALSE),0)</f>
        <v>0</v>
      </c>
      <c r="E25" s="51">
        <f>IFERROR(VLOOKUP($B25,'RA1- Elevated Dumps Upper'!$A$11:$BN$18,MATCH(Summary!E$1,'RA1- Elevated Dumps Upper'!$A$9:$BN$9,1),FALSE),0)+IFERROR(VLOOKUP($B25,'RA2-Elevated Dumps Slopes'!$A$11:$BN$18,MATCH(Summary!E$1,'RA2-Elevated Dumps Slopes'!$A$9:$BN$9,1),FALSE),0)+IFERROR(VLOOKUP($B25,'RA3-Backfilled Pits'!$A$11:$BN$18,MATCH(Summary!E$1,'RA3-Backfilled Pits'!$A$9:$BN$9,1),FALSE),0)+IFERROR(VLOOKUP($B25,'RA4-Tracks_Roads'!$A$11:$BN$18,MATCH(Summary!E$1,'RA4-Tracks_Roads'!$A$9:$BN$9,1),FALSE),0)+IFERROR(VLOOKUP($B25,'RA5-ROM'!$A$11:$BN$18,MATCH(Summary!E$1,'RA5-ROM'!$A$9:$BN$9,1),FALSE),0)+IFERROR(VLOOKUP($B25,'RA6-CHPP'!$A$11:$BN$18,MATCH(Summary!E$1,'RA6-CHPP'!$A$9:$BN$9,1),FALSE),0)+IFERROR(VLOOKUP($B25,'RA7-Mine Infrastructure Area'!$A$11:$BN$18,MATCH(Summary!E$1,'RA7-Mine Infrastructure Area'!$A$9:$BN$9,1),FALSE),0)+IFERROR(VLOOKUP($B25,'RA8-Water Management Structures'!$A$11:$BN$18,MATCH(Summary!E$1,'RA8-Water Management Structures'!$A$9:$BN$9,1),FALSE),0)+IFERROR(VLOOKUP($B25,'RA9-Codisposal Upper'!$A$11:$BN$18,MATCH(Summary!E$1,'RA9-Codisposal Upper'!$A$9:$BN$9,1),FALSE),0)+IFERROR(VLOOKUP($B25,'RA10-Codisposal Slopes'!$A$11:$BN$18,MATCH(Summary!E$1,'RA10-Codisposal Slopes'!$A$9:$BN$9,1),FALSE),0)+IFERROR(VLOOKUP($B25,'IA1-Final Void inc Ramps'!$A$11:$BN$18,MATCH(Summary!E$1,'IA1-Final Void inc Ramps'!$A$9:$BN$9,1),FALSE),0)</f>
        <v>0</v>
      </c>
      <c r="F25" s="51">
        <f>IFERROR(VLOOKUP($B25,'RA1- Elevated Dumps Upper'!$A$11:$BN$18,MATCH(Summary!F$1,'RA1- Elevated Dumps Upper'!$A$9:$BN$9,1),FALSE),0)+IFERROR(VLOOKUP($B25,'RA2-Elevated Dumps Slopes'!$A$11:$BN$18,MATCH(Summary!F$1,'RA2-Elevated Dumps Slopes'!$A$9:$BN$9,1),FALSE),0)+IFERROR(VLOOKUP($B25,'RA3-Backfilled Pits'!$A$11:$BN$18,MATCH(Summary!F$1,'RA3-Backfilled Pits'!$A$9:$BN$9,1),FALSE),0)+IFERROR(VLOOKUP($B25,'RA4-Tracks_Roads'!$A$11:$BN$18,MATCH(Summary!F$1,'RA4-Tracks_Roads'!$A$9:$BN$9,1),FALSE),0)+IFERROR(VLOOKUP($B25,'RA5-ROM'!$A$11:$BN$18,MATCH(Summary!F$1,'RA5-ROM'!$A$9:$BN$9,1),FALSE),0)+IFERROR(VLOOKUP($B25,'RA6-CHPP'!$A$11:$BN$18,MATCH(Summary!F$1,'RA6-CHPP'!$A$9:$BN$9,1),FALSE),0)+IFERROR(VLOOKUP($B25,'RA7-Mine Infrastructure Area'!$A$11:$BN$18,MATCH(Summary!F$1,'RA7-Mine Infrastructure Area'!$A$9:$BN$9,1),FALSE),0)+IFERROR(VLOOKUP($B25,'RA8-Water Management Structures'!$A$11:$BN$18,MATCH(Summary!F$1,'RA8-Water Management Structures'!$A$9:$BN$9,1),FALSE),0)+IFERROR(VLOOKUP($B25,'RA9-Codisposal Upper'!$A$11:$BN$18,MATCH(Summary!F$1,'RA9-Codisposal Upper'!$A$9:$BN$9,1),FALSE),0)+IFERROR(VLOOKUP($B25,'RA10-Codisposal Slopes'!$A$11:$BN$18,MATCH(Summary!F$1,'RA10-Codisposal Slopes'!$A$9:$BN$9,1),FALSE),0)+IFERROR(VLOOKUP($B25,'IA1-Final Void inc Ramps'!$A$11:$BN$18,MATCH(Summary!F$1,'IA1-Final Void inc Ramps'!$A$9:$BN$9,1),FALSE),0)</f>
        <v>0</v>
      </c>
      <c r="G25" s="51">
        <f>IFERROR(VLOOKUP($B25,'RA1- Elevated Dumps Upper'!$A$11:$BN$18,MATCH(Summary!G$1,'RA1- Elevated Dumps Upper'!$A$9:$BN$9,1),FALSE),0)+IFERROR(VLOOKUP($B25,'RA2-Elevated Dumps Slopes'!$A$11:$BN$18,MATCH(Summary!G$1,'RA2-Elevated Dumps Slopes'!$A$9:$BN$9,1),FALSE),0)+IFERROR(VLOOKUP($B25,'RA3-Backfilled Pits'!$A$11:$BN$18,MATCH(Summary!G$1,'RA3-Backfilled Pits'!$A$9:$BN$9,1),FALSE),0)+IFERROR(VLOOKUP($B25,'RA4-Tracks_Roads'!$A$11:$BN$18,MATCH(Summary!G$1,'RA4-Tracks_Roads'!$A$9:$BN$9,1),FALSE),0)+IFERROR(VLOOKUP($B25,'RA5-ROM'!$A$11:$BN$18,MATCH(Summary!G$1,'RA5-ROM'!$A$9:$BN$9,1),FALSE),0)+IFERROR(VLOOKUP($B25,'RA6-CHPP'!$A$11:$BN$18,MATCH(Summary!G$1,'RA6-CHPP'!$A$9:$BN$9,1),FALSE),0)+IFERROR(VLOOKUP($B25,'RA7-Mine Infrastructure Area'!$A$11:$BN$18,MATCH(Summary!G$1,'RA7-Mine Infrastructure Area'!$A$9:$BN$9,1),FALSE),0)+IFERROR(VLOOKUP($B25,'RA8-Water Management Structures'!$A$11:$BN$18,MATCH(Summary!G$1,'RA8-Water Management Structures'!$A$9:$BN$9,1),FALSE),0)+IFERROR(VLOOKUP($B25,'RA9-Codisposal Upper'!$A$11:$BN$18,MATCH(Summary!G$1,'RA9-Codisposal Upper'!$A$9:$BN$9,1),FALSE),0)+IFERROR(VLOOKUP($B25,'RA10-Codisposal Slopes'!$A$11:$BN$18,MATCH(Summary!G$1,'RA10-Codisposal Slopes'!$A$9:$BN$9,1),FALSE),0)+IFERROR(VLOOKUP($B25,'IA1-Final Void inc Ramps'!$A$11:$BN$18,MATCH(Summary!G$1,'IA1-Final Void inc Ramps'!$A$9:$BN$9,1),FALSE),0)</f>
        <v>0</v>
      </c>
      <c r="H25" s="51">
        <f>IFERROR(VLOOKUP($B25,'RA1- Elevated Dumps Upper'!$A$11:$BN$18,MATCH(Summary!H$1,'RA1- Elevated Dumps Upper'!$A$9:$BN$9,1),FALSE),0)+IFERROR(VLOOKUP($B25,'RA2-Elevated Dumps Slopes'!$A$11:$BN$18,MATCH(Summary!H$1,'RA2-Elevated Dumps Slopes'!$A$9:$BN$9,1),FALSE),0)+IFERROR(VLOOKUP($B25,'RA3-Backfilled Pits'!$A$11:$BN$18,MATCH(Summary!H$1,'RA3-Backfilled Pits'!$A$9:$BN$9,1),FALSE),0)+IFERROR(VLOOKUP($B25,'RA4-Tracks_Roads'!$A$11:$BN$18,MATCH(Summary!H$1,'RA4-Tracks_Roads'!$A$9:$BN$9,1),FALSE),0)+IFERROR(VLOOKUP($B25,'RA5-ROM'!$A$11:$BN$18,MATCH(Summary!H$1,'RA5-ROM'!$A$9:$BN$9,1),FALSE),0)+IFERROR(VLOOKUP($B25,'RA6-CHPP'!$A$11:$BN$18,MATCH(Summary!H$1,'RA6-CHPP'!$A$9:$BN$9,1),FALSE),0)+IFERROR(VLOOKUP($B25,'RA7-Mine Infrastructure Area'!$A$11:$BN$18,MATCH(Summary!H$1,'RA7-Mine Infrastructure Area'!$A$9:$BN$9,1),FALSE),0)+IFERROR(VLOOKUP($B25,'RA8-Water Management Structures'!$A$11:$BN$18,MATCH(Summary!H$1,'RA8-Water Management Structures'!$A$9:$BN$9,1),FALSE),0)+IFERROR(VLOOKUP($B25,'RA9-Codisposal Upper'!$A$11:$BN$18,MATCH(Summary!H$1,'RA9-Codisposal Upper'!$A$9:$BN$9,1),FALSE),0)+IFERROR(VLOOKUP($B25,'RA10-Codisposal Slopes'!$A$11:$BN$18,MATCH(Summary!H$1,'RA10-Codisposal Slopes'!$A$9:$BN$9,1),FALSE),0)+IFERROR(VLOOKUP($B25,'IA1-Final Void inc Ramps'!$A$11:$BN$18,MATCH(Summary!H$1,'IA1-Final Void inc Ramps'!$A$9:$BN$9,1),FALSE),0)</f>
        <v>0</v>
      </c>
      <c r="I25" s="51">
        <f>IFERROR(VLOOKUP($B25,'RA1- Elevated Dumps Upper'!$A$11:$BN$18,MATCH(Summary!I$1,'RA1- Elevated Dumps Upper'!$A$9:$BN$9,1),FALSE),0)+IFERROR(VLOOKUP($B25,'RA2-Elevated Dumps Slopes'!$A$11:$BN$18,MATCH(Summary!I$1,'RA2-Elevated Dumps Slopes'!$A$9:$BN$9,1),FALSE),0)+IFERROR(VLOOKUP($B25,'RA3-Backfilled Pits'!$A$11:$BN$18,MATCH(Summary!I$1,'RA3-Backfilled Pits'!$A$9:$BN$9,1),FALSE),0)+IFERROR(VLOOKUP($B25,'RA4-Tracks_Roads'!$A$11:$BN$18,MATCH(Summary!I$1,'RA4-Tracks_Roads'!$A$9:$BN$9,1),FALSE),0)+IFERROR(VLOOKUP($B25,'RA5-ROM'!$A$11:$BN$18,MATCH(Summary!I$1,'RA5-ROM'!$A$9:$BN$9,1),FALSE),0)+IFERROR(VLOOKUP($B25,'RA6-CHPP'!$A$11:$BN$18,MATCH(Summary!I$1,'RA6-CHPP'!$A$9:$BN$9,1),FALSE),0)+IFERROR(VLOOKUP($B25,'RA7-Mine Infrastructure Area'!$A$11:$BN$18,MATCH(Summary!I$1,'RA7-Mine Infrastructure Area'!$A$9:$BN$9,1),FALSE),0)+IFERROR(VLOOKUP($B25,'RA8-Water Management Structures'!$A$11:$BN$18,MATCH(Summary!I$1,'RA8-Water Management Structures'!$A$9:$BN$9,1),FALSE),0)+IFERROR(VLOOKUP($B25,'RA9-Codisposal Upper'!$A$11:$BN$18,MATCH(Summary!I$1,'RA9-Codisposal Upper'!$A$9:$BN$9,1),FALSE),0)+IFERROR(VLOOKUP($B25,'RA10-Codisposal Slopes'!$A$11:$BN$18,MATCH(Summary!I$1,'RA10-Codisposal Slopes'!$A$9:$BN$9,1),FALSE),0)+IFERROR(VLOOKUP($B25,'IA1-Final Void inc Ramps'!$A$11:$BN$18,MATCH(Summary!I$1,'IA1-Final Void inc Ramps'!$A$9:$BN$9,1),FALSE),0)</f>
        <v>0</v>
      </c>
      <c r="J25" s="51">
        <f>IFERROR(VLOOKUP($B25,'RA1- Elevated Dumps Upper'!$A$11:$BN$18,MATCH(Summary!J$1,'RA1- Elevated Dumps Upper'!$A$9:$BN$9,1),FALSE),0)+IFERROR(VLOOKUP($B25,'RA2-Elevated Dumps Slopes'!$A$11:$BN$18,MATCH(Summary!J$1,'RA2-Elevated Dumps Slopes'!$A$9:$BN$9,1),FALSE),0)+IFERROR(VLOOKUP($B25,'RA3-Backfilled Pits'!$A$11:$BN$18,MATCH(Summary!J$1,'RA3-Backfilled Pits'!$A$9:$BN$9,1),FALSE),0)+IFERROR(VLOOKUP($B25,'RA4-Tracks_Roads'!$A$11:$BN$18,MATCH(Summary!J$1,'RA4-Tracks_Roads'!$A$9:$BN$9,1),FALSE),0)+IFERROR(VLOOKUP($B25,'RA5-ROM'!$A$11:$BN$18,MATCH(Summary!J$1,'RA5-ROM'!$A$9:$BN$9,1),FALSE),0)+IFERROR(VLOOKUP($B25,'RA6-CHPP'!$A$11:$BN$18,MATCH(Summary!J$1,'RA6-CHPP'!$A$9:$BN$9,1),FALSE),0)+IFERROR(VLOOKUP($B25,'RA7-Mine Infrastructure Area'!$A$11:$BN$18,MATCH(Summary!J$1,'RA7-Mine Infrastructure Area'!$A$9:$BN$9,1),FALSE),0)+IFERROR(VLOOKUP($B25,'RA8-Water Management Structures'!$A$11:$BN$18,MATCH(Summary!J$1,'RA8-Water Management Structures'!$A$9:$BN$9,1),FALSE),0)+IFERROR(VLOOKUP($B25,'RA9-Codisposal Upper'!$A$11:$BN$18,MATCH(Summary!J$1,'RA9-Codisposal Upper'!$A$9:$BN$9,1),FALSE),0)+IFERROR(VLOOKUP($B25,'RA10-Codisposal Slopes'!$A$11:$BN$18,MATCH(Summary!J$1,'RA10-Codisposal Slopes'!$A$9:$BN$9,1),FALSE),0)+IFERROR(VLOOKUP($B25,'IA1-Final Void inc Ramps'!$A$11:$BN$18,MATCH(Summary!J$1,'IA1-Final Void inc Ramps'!$A$9:$BN$9,1),FALSE),0)</f>
        <v>0</v>
      </c>
      <c r="K25" s="51">
        <f>IFERROR(VLOOKUP($B25,'RA1- Elevated Dumps Upper'!$A$11:$BN$18,MATCH(Summary!K$1,'RA1- Elevated Dumps Upper'!$A$9:$BN$9,1),FALSE),0)+IFERROR(VLOOKUP($B25,'RA2-Elevated Dumps Slopes'!$A$11:$BN$18,MATCH(Summary!K$1,'RA2-Elevated Dumps Slopes'!$A$9:$BN$9,1),FALSE),0)+IFERROR(VLOOKUP($B25,'RA3-Backfilled Pits'!$A$11:$BN$18,MATCH(Summary!K$1,'RA3-Backfilled Pits'!$A$9:$BN$9,1),FALSE),0)+IFERROR(VLOOKUP($B25,'RA4-Tracks_Roads'!$A$11:$BN$18,MATCH(Summary!K$1,'RA4-Tracks_Roads'!$A$9:$BN$9,1),FALSE),0)+IFERROR(VLOOKUP($B25,'RA5-ROM'!$A$11:$BN$18,MATCH(Summary!K$1,'RA5-ROM'!$A$9:$BN$9,1),FALSE),0)+IFERROR(VLOOKUP($B25,'RA6-CHPP'!$A$11:$BN$18,MATCH(Summary!K$1,'RA6-CHPP'!$A$9:$BN$9,1),FALSE),0)+IFERROR(VLOOKUP($B25,'RA7-Mine Infrastructure Area'!$A$11:$BN$18,MATCH(Summary!K$1,'RA7-Mine Infrastructure Area'!$A$9:$BN$9,1),FALSE),0)+IFERROR(VLOOKUP($B25,'RA8-Water Management Structures'!$A$11:$BN$18,MATCH(Summary!K$1,'RA8-Water Management Structures'!$A$9:$BN$9,1),FALSE),0)+IFERROR(VLOOKUP($B25,'RA9-Codisposal Upper'!$A$11:$BN$18,MATCH(Summary!K$1,'RA9-Codisposal Upper'!$A$9:$BN$9,1),FALSE),0)+IFERROR(VLOOKUP($B25,'RA10-Codisposal Slopes'!$A$11:$BN$18,MATCH(Summary!K$1,'RA10-Codisposal Slopes'!$A$9:$BN$9,1),FALSE),0)+IFERROR(VLOOKUP($B25,'IA1-Final Void inc Ramps'!$A$11:$BN$18,MATCH(Summary!K$1,'IA1-Final Void inc Ramps'!$A$9:$BN$9,1),FALSE),0)</f>
        <v>0</v>
      </c>
      <c r="L25" s="51">
        <f>IFERROR(VLOOKUP($B25,'RA1- Elevated Dumps Upper'!$A$11:$BN$18,MATCH(Summary!L$1,'RA1- Elevated Dumps Upper'!$A$9:$BN$9,1),FALSE),0)+IFERROR(VLOOKUP($B25,'RA2-Elevated Dumps Slopes'!$A$11:$BN$18,MATCH(Summary!L$1,'RA2-Elevated Dumps Slopes'!$A$9:$BN$9,1),FALSE),0)+IFERROR(VLOOKUP($B25,'RA3-Backfilled Pits'!$A$11:$BN$18,MATCH(Summary!L$1,'RA3-Backfilled Pits'!$A$9:$BN$9,1),FALSE),0)+IFERROR(VLOOKUP($B25,'RA4-Tracks_Roads'!$A$11:$BN$18,MATCH(Summary!L$1,'RA4-Tracks_Roads'!$A$9:$BN$9,1),FALSE),0)+IFERROR(VLOOKUP($B25,'RA5-ROM'!$A$11:$BN$18,MATCH(Summary!L$1,'RA5-ROM'!$A$9:$BN$9,1),FALSE),0)+IFERROR(VLOOKUP($B25,'RA6-CHPP'!$A$11:$BN$18,MATCH(Summary!L$1,'RA6-CHPP'!$A$9:$BN$9,1),FALSE),0)+IFERROR(VLOOKUP($B25,'RA7-Mine Infrastructure Area'!$A$11:$BN$18,MATCH(Summary!L$1,'RA7-Mine Infrastructure Area'!$A$9:$BN$9,1),FALSE),0)+IFERROR(VLOOKUP($B25,'RA8-Water Management Structures'!$A$11:$BN$18,MATCH(Summary!L$1,'RA8-Water Management Structures'!$A$9:$BN$9,1),FALSE),0)+IFERROR(VLOOKUP($B25,'RA9-Codisposal Upper'!$A$11:$BN$18,MATCH(Summary!L$1,'RA9-Codisposal Upper'!$A$9:$BN$9,1),FALSE),0)+IFERROR(VLOOKUP($B25,'RA10-Codisposal Slopes'!$A$11:$BN$18,MATCH(Summary!L$1,'RA10-Codisposal Slopes'!$A$9:$BN$9,1),FALSE),0)+IFERROR(VLOOKUP($B25,'IA1-Final Void inc Ramps'!$A$11:$BN$18,MATCH(Summary!L$1,'IA1-Final Void inc Ramps'!$A$9:$BN$9,1),FALSE),0)</f>
        <v>0</v>
      </c>
      <c r="M25" s="51">
        <f>IFERROR(VLOOKUP($B25,'RA1- Elevated Dumps Upper'!$A$11:$BN$18,MATCH(Summary!M$1,'RA1- Elevated Dumps Upper'!$A$9:$BN$9,1),FALSE),0)+IFERROR(VLOOKUP($B25,'RA2-Elevated Dumps Slopes'!$A$11:$BN$18,MATCH(Summary!M$1,'RA2-Elevated Dumps Slopes'!$A$9:$BN$9,1),FALSE),0)+IFERROR(VLOOKUP($B25,'RA3-Backfilled Pits'!$A$11:$BN$18,MATCH(Summary!M$1,'RA3-Backfilled Pits'!$A$9:$BN$9,1),FALSE),0)+IFERROR(VLOOKUP($B25,'RA4-Tracks_Roads'!$A$11:$BN$18,MATCH(Summary!M$1,'RA4-Tracks_Roads'!$A$9:$BN$9,1),FALSE),0)+IFERROR(VLOOKUP($B25,'RA5-ROM'!$A$11:$BN$18,MATCH(Summary!M$1,'RA5-ROM'!$A$9:$BN$9,1),FALSE),0)+IFERROR(VLOOKUP($B25,'RA6-CHPP'!$A$11:$BN$18,MATCH(Summary!M$1,'RA6-CHPP'!$A$9:$BN$9,1),FALSE),0)+IFERROR(VLOOKUP($B25,'RA7-Mine Infrastructure Area'!$A$11:$BN$18,MATCH(Summary!M$1,'RA7-Mine Infrastructure Area'!$A$9:$BN$9,1),FALSE),0)+IFERROR(VLOOKUP($B25,'RA8-Water Management Structures'!$A$11:$BN$18,MATCH(Summary!M$1,'RA8-Water Management Structures'!$A$9:$BN$9,1),FALSE),0)+IFERROR(VLOOKUP($B25,'RA9-Codisposal Upper'!$A$11:$BN$18,MATCH(Summary!M$1,'RA9-Codisposal Upper'!$A$9:$BN$9,1),FALSE),0)+IFERROR(VLOOKUP($B25,'RA10-Codisposal Slopes'!$A$11:$BN$18,MATCH(Summary!M$1,'RA10-Codisposal Slopes'!$A$9:$BN$9,1),FALSE),0)+IFERROR(VLOOKUP($B25,'IA1-Final Void inc Ramps'!$A$11:$BN$18,MATCH(Summary!M$1,'IA1-Final Void inc Ramps'!$A$9:$BN$9,1),FALSE),0)</f>
        <v>0</v>
      </c>
      <c r="N25" s="51">
        <f>IFERROR(VLOOKUP($B25,'RA1- Elevated Dumps Upper'!$A$11:$BN$18,MATCH(Summary!N$1,'RA1- Elevated Dumps Upper'!$A$9:$BN$9,1),FALSE),0)+IFERROR(VLOOKUP($B25,'RA2-Elevated Dumps Slopes'!$A$11:$BN$18,MATCH(Summary!N$1,'RA2-Elevated Dumps Slopes'!$A$9:$BN$9,1),FALSE),0)+IFERROR(VLOOKUP($B25,'RA3-Backfilled Pits'!$A$11:$BN$18,MATCH(Summary!N$1,'RA3-Backfilled Pits'!$A$9:$BN$9,1),FALSE),0)+IFERROR(VLOOKUP($B25,'RA4-Tracks_Roads'!$A$11:$BN$18,MATCH(Summary!N$1,'RA4-Tracks_Roads'!$A$9:$BN$9,1),FALSE),0)+IFERROR(VLOOKUP($B25,'RA5-ROM'!$A$11:$BN$18,MATCH(Summary!N$1,'RA5-ROM'!$A$9:$BN$9,1),FALSE),0)+IFERROR(VLOOKUP($B25,'RA6-CHPP'!$A$11:$BN$18,MATCH(Summary!N$1,'RA6-CHPP'!$A$9:$BN$9,1),FALSE),0)+IFERROR(VLOOKUP($B25,'RA7-Mine Infrastructure Area'!$A$11:$BN$18,MATCH(Summary!N$1,'RA7-Mine Infrastructure Area'!$A$9:$BN$9,1),FALSE),0)+IFERROR(VLOOKUP($B25,'RA8-Water Management Structures'!$A$11:$BN$18,MATCH(Summary!N$1,'RA8-Water Management Structures'!$A$9:$BN$9,1),FALSE),0)+IFERROR(VLOOKUP($B25,'RA9-Codisposal Upper'!$A$11:$BN$18,MATCH(Summary!N$1,'RA9-Codisposal Upper'!$A$9:$BN$9,1),FALSE),0)+IFERROR(VLOOKUP($B25,'RA10-Codisposal Slopes'!$A$11:$BN$18,MATCH(Summary!N$1,'RA10-Codisposal Slopes'!$A$9:$BN$9,1),FALSE),0)+IFERROR(VLOOKUP($B25,'IA1-Final Void inc Ramps'!$A$11:$BN$18,MATCH(Summary!N$1,'IA1-Final Void inc Ramps'!$A$9:$BN$9,1),FALSE),0)</f>
        <v>0</v>
      </c>
      <c r="O25" s="51">
        <f>IFERROR(VLOOKUP($B25,'RA1- Elevated Dumps Upper'!$A$11:$BN$18,MATCH(Summary!O$1,'RA1- Elevated Dumps Upper'!$A$9:$BN$9,1),FALSE),0)+IFERROR(VLOOKUP($B25,'RA2-Elevated Dumps Slopes'!$A$11:$BN$18,MATCH(Summary!O$1,'RA2-Elevated Dumps Slopes'!$A$9:$BN$9,1),FALSE),0)+IFERROR(VLOOKUP($B25,'RA3-Backfilled Pits'!$A$11:$BN$18,MATCH(Summary!O$1,'RA3-Backfilled Pits'!$A$9:$BN$9,1),FALSE),0)+IFERROR(VLOOKUP($B25,'RA4-Tracks_Roads'!$A$11:$BN$18,MATCH(Summary!O$1,'RA4-Tracks_Roads'!$A$9:$BN$9,1),FALSE),0)+IFERROR(VLOOKUP($B25,'RA5-ROM'!$A$11:$BN$18,MATCH(Summary!O$1,'RA5-ROM'!$A$9:$BN$9,1),FALSE),0)+IFERROR(VLOOKUP($B25,'RA6-CHPP'!$A$11:$BN$18,MATCH(Summary!O$1,'RA6-CHPP'!$A$9:$BN$9,1),FALSE),0)+IFERROR(VLOOKUP($B25,'RA7-Mine Infrastructure Area'!$A$11:$BN$18,MATCH(Summary!O$1,'RA7-Mine Infrastructure Area'!$A$9:$BN$9,1),FALSE),0)+IFERROR(VLOOKUP($B25,'RA8-Water Management Structures'!$A$11:$BN$18,MATCH(Summary!O$1,'RA8-Water Management Structures'!$A$9:$BN$9,1),FALSE),0)+IFERROR(VLOOKUP($B25,'RA9-Codisposal Upper'!$A$11:$BN$18,MATCH(Summary!O$1,'RA9-Codisposal Upper'!$A$9:$BN$9,1),FALSE),0)+IFERROR(VLOOKUP($B25,'RA10-Codisposal Slopes'!$A$11:$BN$18,MATCH(Summary!O$1,'RA10-Codisposal Slopes'!$A$9:$BN$9,1),FALSE),0)+IFERROR(VLOOKUP($B25,'IA1-Final Void inc Ramps'!$A$11:$BN$18,MATCH(Summary!O$1,'IA1-Final Void inc Ramps'!$A$9:$BN$9,1),FALSE),0)</f>
        <v>0</v>
      </c>
      <c r="P25" s="51">
        <f>IFERROR(VLOOKUP($B25,'RA1- Elevated Dumps Upper'!$A$11:$BN$18,MATCH(Summary!P$1,'RA1- Elevated Dumps Upper'!$A$9:$BN$9,1),FALSE),0)+IFERROR(VLOOKUP($B25,'RA2-Elevated Dumps Slopes'!$A$11:$BN$18,MATCH(Summary!P$1,'RA2-Elevated Dumps Slopes'!$A$9:$BN$9,1),FALSE),0)+IFERROR(VLOOKUP($B25,'RA3-Backfilled Pits'!$A$11:$BN$18,MATCH(Summary!P$1,'RA3-Backfilled Pits'!$A$9:$BN$9,1),FALSE),0)+IFERROR(VLOOKUP($B25,'RA4-Tracks_Roads'!$A$11:$BN$18,MATCH(Summary!P$1,'RA4-Tracks_Roads'!$A$9:$BN$9,1),FALSE),0)+IFERROR(VLOOKUP($B25,'RA5-ROM'!$A$11:$BN$18,MATCH(Summary!P$1,'RA5-ROM'!$A$9:$BN$9,1),FALSE),0)+IFERROR(VLOOKUP($B25,'RA6-CHPP'!$A$11:$BN$18,MATCH(Summary!P$1,'RA6-CHPP'!$A$9:$BN$9,1),FALSE),0)+IFERROR(VLOOKUP($B25,'RA7-Mine Infrastructure Area'!$A$11:$BN$18,MATCH(Summary!P$1,'RA7-Mine Infrastructure Area'!$A$9:$BN$9,1),FALSE),0)+IFERROR(VLOOKUP($B25,'RA8-Water Management Structures'!$A$11:$BN$18,MATCH(Summary!P$1,'RA8-Water Management Structures'!$A$9:$BN$9,1),FALSE),0)+IFERROR(VLOOKUP($B25,'RA9-Codisposal Upper'!$A$11:$BN$18,MATCH(Summary!P$1,'RA9-Codisposal Upper'!$A$9:$BN$9,1),FALSE),0)+IFERROR(VLOOKUP($B25,'RA10-Codisposal Slopes'!$A$11:$BN$18,MATCH(Summary!P$1,'RA10-Codisposal Slopes'!$A$9:$BN$9,1),FALSE),0)+IFERROR(VLOOKUP($B25,'IA1-Final Void inc Ramps'!$A$11:$BN$18,MATCH(Summary!P$1,'IA1-Final Void inc Ramps'!$A$9:$BN$9,1),FALSE),0)</f>
        <v>0</v>
      </c>
      <c r="Q25" s="51">
        <f>IFERROR(VLOOKUP($B25,'RA1- Elevated Dumps Upper'!$A$11:$BN$18,MATCH(Summary!Q$1,'RA1- Elevated Dumps Upper'!$A$9:$BN$9,1),FALSE),0)+IFERROR(VLOOKUP($B25,'RA2-Elevated Dumps Slopes'!$A$11:$BN$18,MATCH(Summary!Q$1,'RA2-Elevated Dumps Slopes'!$A$9:$BN$9,1),FALSE),0)+IFERROR(VLOOKUP($B25,'RA3-Backfilled Pits'!$A$11:$BN$18,MATCH(Summary!Q$1,'RA3-Backfilled Pits'!$A$9:$BN$9,1),FALSE),0)+IFERROR(VLOOKUP($B25,'RA4-Tracks_Roads'!$A$11:$BN$18,MATCH(Summary!Q$1,'RA4-Tracks_Roads'!$A$9:$BN$9,1),FALSE),0)+IFERROR(VLOOKUP($B25,'RA5-ROM'!$A$11:$BN$18,MATCH(Summary!Q$1,'RA5-ROM'!$A$9:$BN$9,1),FALSE),0)+IFERROR(VLOOKUP($B25,'RA6-CHPP'!$A$11:$BN$18,MATCH(Summary!Q$1,'RA6-CHPP'!$A$9:$BN$9,1),FALSE),0)+IFERROR(VLOOKUP($B25,'RA7-Mine Infrastructure Area'!$A$11:$BN$18,MATCH(Summary!Q$1,'RA7-Mine Infrastructure Area'!$A$9:$BN$9,1),FALSE),0)+IFERROR(VLOOKUP($B25,'RA8-Water Management Structures'!$A$11:$BN$18,MATCH(Summary!Q$1,'RA8-Water Management Structures'!$A$9:$BN$9,1),FALSE),0)+IFERROR(VLOOKUP($B25,'RA9-Codisposal Upper'!$A$11:$BN$18,MATCH(Summary!Q$1,'RA9-Codisposal Upper'!$A$9:$BN$9,1),FALSE),0)+IFERROR(VLOOKUP($B25,'RA10-Codisposal Slopes'!$A$11:$BN$18,MATCH(Summary!Q$1,'RA10-Codisposal Slopes'!$A$9:$BN$9,1),FALSE),0)+IFERROR(VLOOKUP($B25,'IA1-Final Void inc Ramps'!$A$11:$BN$18,MATCH(Summary!Q$1,'IA1-Final Void inc Ramps'!$A$9:$BN$9,1),FALSE),0)</f>
        <v>0</v>
      </c>
      <c r="R25" s="51">
        <f>IFERROR(VLOOKUP($B25,'RA1- Elevated Dumps Upper'!$A$11:$BN$18,MATCH(Summary!R$1,'RA1- Elevated Dumps Upper'!$A$9:$BN$9,1),FALSE),0)+IFERROR(VLOOKUP($B25,'RA2-Elevated Dumps Slopes'!$A$11:$BN$18,MATCH(Summary!R$1,'RA2-Elevated Dumps Slopes'!$A$9:$BN$9,1),FALSE),0)+IFERROR(VLOOKUP($B25,'RA3-Backfilled Pits'!$A$11:$BN$18,MATCH(Summary!R$1,'RA3-Backfilled Pits'!$A$9:$BN$9,1),FALSE),0)+IFERROR(VLOOKUP($B25,'RA4-Tracks_Roads'!$A$11:$BN$18,MATCH(Summary!R$1,'RA4-Tracks_Roads'!$A$9:$BN$9,1),FALSE),0)+IFERROR(VLOOKUP($B25,'RA5-ROM'!$A$11:$BN$18,MATCH(Summary!R$1,'RA5-ROM'!$A$9:$BN$9,1),FALSE),0)+IFERROR(VLOOKUP($B25,'RA6-CHPP'!$A$11:$BN$18,MATCH(Summary!R$1,'RA6-CHPP'!$A$9:$BN$9,1),FALSE),0)+IFERROR(VLOOKUP($B25,'RA7-Mine Infrastructure Area'!$A$11:$BN$18,MATCH(Summary!R$1,'RA7-Mine Infrastructure Area'!$A$9:$BN$9,1),FALSE),0)+IFERROR(VLOOKUP($B25,'RA8-Water Management Structures'!$A$11:$BN$18,MATCH(Summary!R$1,'RA8-Water Management Structures'!$A$9:$BN$9,1),FALSE),0)+IFERROR(VLOOKUP($B25,'RA9-Codisposal Upper'!$A$11:$BN$18,MATCH(Summary!R$1,'RA9-Codisposal Upper'!$A$9:$BN$9,1),FALSE),0)+IFERROR(VLOOKUP($B25,'RA10-Codisposal Slopes'!$A$11:$BN$18,MATCH(Summary!R$1,'RA10-Codisposal Slopes'!$A$9:$BN$9,1),FALSE),0)+IFERROR(VLOOKUP($B25,'IA1-Final Void inc Ramps'!$A$11:$BN$18,MATCH(Summary!R$1,'IA1-Final Void inc Ramps'!$A$9:$BN$9,1),FALSE),0)</f>
        <v>0</v>
      </c>
      <c r="S25" s="51">
        <f>IFERROR(VLOOKUP($B25,'RA1- Elevated Dumps Upper'!$A$11:$BN$18,MATCH(Summary!S$1,'RA1- Elevated Dumps Upper'!$A$9:$BN$9,1),FALSE),0)+IFERROR(VLOOKUP($B25,'RA2-Elevated Dumps Slopes'!$A$11:$BN$18,MATCH(Summary!S$1,'RA2-Elevated Dumps Slopes'!$A$9:$BN$9,1),FALSE),0)+IFERROR(VLOOKUP($B25,'RA3-Backfilled Pits'!$A$11:$BN$18,MATCH(Summary!S$1,'RA3-Backfilled Pits'!$A$9:$BN$9,1),FALSE),0)+IFERROR(VLOOKUP($B25,'RA4-Tracks_Roads'!$A$11:$BN$18,MATCH(Summary!S$1,'RA4-Tracks_Roads'!$A$9:$BN$9,1),FALSE),0)+IFERROR(VLOOKUP($B25,'RA5-ROM'!$A$11:$BN$18,MATCH(Summary!S$1,'RA5-ROM'!$A$9:$BN$9,1),FALSE),0)+IFERROR(VLOOKUP($B25,'RA6-CHPP'!$A$11:$BN$18,MATCH(Summary!S$1,'RA6-CHPP'!$A$9:$BN$9,1),FALSE),0)+IFERROR(VLOOKUP($B25,'RA7-Mine Infrastructure Area'!$A$11:$BN$18,MATCH(Summary!S$1,'RA7-Mine Infrastructure Area'!$A$9:$BN$9,1),FALSE),0)+IFERROR(VLOOKUP($B25,'RA8-Water Management Structures'!$A$11:$BN$18,MATCH(Summary!S$1,'RA8-Water Management Structures'!$A$9:$BN$9,1),FALSE),0)+IFERROR(VLOOKUP($B25,'RA9-Codisposal Upper'!$A$11:$BN$18,MATCH(Summary!S$1,'RA9-Codisposal Upper'!$A$9:$BN$9,1),FALSE),0)+IFERROR(VLOOKUP($B25,'RA10-Codisposal Slopes'!$A$11:$BN$18,MATCH(Summary!S$1,'RA10-Codisposal Slopes'!$A$9:$BN$9,1),FALSE),0)+IFERROR(VLOOKUP($B25,'IA1-Final Void inc Ramps'!$A$11:$BN$18,MATCH(Summary!S$1,'IA1-Final Void inc Ramps'!$A$9:$BN$9,1),FALSE),0)</f>
        <v>0</v>
      </c>
      <c r="T25" s="51">
        <f>IFERROR(VLOOKUP($B25,'RA1- Elevated Dumps Upper'!$A$11:$BN$18,MATCH(Summary!T$1,'RA1- Elevated Dumps Upper'!$A$9:$BN$9,1),FALSE),0)+IFERROR(VLOOKUP($B25,'RA2-Elevated Dumps Slopes'!$A$11:$BN$18,MATCH(Summary!T$1,'RA2-Elevated Dumps Slopes'!$A$9:$BN$9,1),FALSE),0)+IFERROR(VLOOKUP($B25,'RA3-Backfilled Pits'!$A$11:$BN$18,MATCH(Summary!T$1,'RA3-Backfilled Pits'!$A$9:$BN$9,1),FALSE),0)+IFERROR(VLOOKUP($B25,'RA4-Tracks_Roads'!$A$11:$BN$18,MATCH(Summary!T$1,'RA4-Tracks_Roads'!$A$9:$BN$9,1),FALSE),0)+IFERROR(VLOOKUP($B25,'RA5-ROM'!$A$11:$BN$18,MATCH(Summary!T$1,'RA5-ROM'!$A$9:$BN$9,1),FALSE),0)+IFERROR(VLOOKUP($B25,'RA6-CHPP'!$A$11:$BN$18,MATCH(Summary!T$1,'RA6-CHPP'!$A$9:$BN$9,1),FALSE),0)+IFERROR(VLOOKUP($B25,'RA7-Mine Infrastructure Area'!$A$11:$BN$18,MATCH(Summary!T$1,'RA7-Mine Infrastructure Area'!$A$9:$BN$9,1),FALSE),0)+IFERROR(VLOOKUP($B25,'RA8-Water Management Structures'!$A$11:$BN$18,MATCH(Summary!T$1,'RA8-Water Management Structures'!$A$9:$BN$9,1),FALSE),0)+IFERROR(VLOOKUP($B25,'RA9-Codisposal Upper'!$A$11:$BN$18,MATCH(Summary!T$1,'RA9-Codisposal Upper'!$A$9:$BN$9,1),FALSE),0)+IFERROR(VLOOKUP($B25,'RA10-Codisposal Slopes'!$A$11:$BN$18,MATCH(Summary!T$1,'RA10-Codisposal Slopes'!$A$9:$BN$9,1),FALSE),0)+IFERROR(VLOOKUP($B25,'IA1-Final Void inc Ramps'!$A$11:$BN$18,MATCH(Summary!T$1,'IA1-Final Void inc Ramps'!$A$9:$BN$9,1),FALSE),0)</f>
        <v>0</v>
      </c>
      <c r="U25" s="51">
        <f>IFERROR(VLOOKUP($B25,'RA1- Elevated Dumps Upper'!$A$11:$BN$18,MATCH(Summary!U$1,'RA1- Elevated Dumps Upper'!$A$9:$BN$9,1),FALSE),0)+IFERROR(VLOOKUP($B25,'RA2-Elevated Dumps Slopes'!$A$11:$BN$18,MATCH(Summary!U$1,'RA2-Elevated Dumps Slopes'!$A$9:$BN$9,1),FALSE),0)+IFERROR(VLOOKUP($B25,'RA3-Backfilled Pits'!$A$11:$BN$18,MATCH(Summary!U$1,'RA3-Backfilled Pits'!$A$9:$BN$9,1),FALSE),0)+IFERROR(VLOOKUP($B25,'RA4-Tracks_Roads'!$A$11:$BN$18,MATCH(Summary!U$1,'RA4-Tracks_Roads'!$A$9:$BN$9,1),FALSE),0)+IFERROR(VLOOKUP($B25,'RA5-ROM'!$A$11:$BN$18,MATCH(Summary!U$1,'RA5-ROM'!$A$9:$BN$9,1),FALSE),0)+IFERROR(VLOOKUP($B25,'RA6-CHPP'!$A$11:$BN$18,MATCH(Summary!U$1,'RA6-CHPP'!$A$9:$BN$9,1),FALSE),0)+IFERROR(VLOOKUP($B25,'RA7-Mine Infrastructure Area'!$A$11:$BN$18,MATCH(Summary!U$1,'RA7-Mine Infrastructure Area'!$A$9:$BN$9,1),FALSE),0)+IFERROR(VLOOKUP($B25,'RA8-Water Management Structures'!$A$11:$BN$18,MATCH(Summary!U$1,'RA8-Water Management Structures'!$A$9:$BN$9,1),FALSE),0)+IFERROR(VLOOKUP($B25,'RA9-Codisposal Upper'!$A$11:$BN$18,MATCH(Summary!U$1,'RA9-Codisposal Upper'!$A$9:$BN$9,1),FALSE),0)+IFERROR(VLOOKUP($B25,'RA10-Codisposal Slopes'!$A$11:$BN$18,MATCH(Summary!U$1,'RA10-Codisposal Slopes'!$A$9:$BN$9,1),FALSE),0)+IFERROR(VLOOKUP($B25,'IA1-Final Void inc Ramps'!$A$11:$BN$18,MATCH(Summary!U$1,'IA1-Final Void inc Ramps'!$A$9:$BN$9,1),FALSE),0)</f>
        <v>0</v>
      </c>
      <c r="V25" s="51">
        <f>IFERROR(VLOOKUP($B25,'RA1- Elevated Dumps Upper'!$A$11:$BN$18,MATCH(Summary!V$1,'RA1- Elevated Dumps Upper'!$A$9:$BN$9,1),FALSE),0)+IFERROR(VLOOKUP($B25,'RA2-Elevated Dumps Slopes'!$A$11:$BN$18,MATCH(Summary!V$1,'RA2-Elevated Dumps Slopes'!$A$9:$BN$9,1),FALSE),0)+IFERROR(VLOOKUP($B25,'RA3-Backfilled Pits'!$A$11:$BN$18,MATCH(Summary!V$1,'RA3-Backfilled Pits'!$A$9:$BN$9,1),FALSE),0)+IFERROR(VLOOKUP($B25,'RA4-Tracks_Roads'!$A$11:$BN$18,MATCH(Summary!V$1,'RA4-Tracks_Roads'!$A$9:$BN$9,1),FALSE),0)+IFERROR(VLOOKUP($B25,'RA5-ROM'!$A$11:$BN$18,MATCH(Summary!V$1,'RA5-ROM'!$A$9:$BN$9,1),FALSE),0)+IFERROR(VLOOKUP($B25,'RA6-CHPP'!$A$11:$BN$18,MATCH(Summary!V$1,'RA6-CHPP'!$A$9:$BN$9,1),FALSE),0)+IFERROR(VLOOKUP($B25,'RA7-Mine Infrastructure Area'!$A$11:$BN$18,MATCH(Summary!V$1,'RA7-Mine Infrastructure Area'!$A$9:$BN$9,1),FALSE),0)+IFERROR(VLOOKUP($B25,'RA8-Water Management Structures'!$A$11:$BN$18,MATCH(Summary!V$1,'RA8-Water Management Structures'!$A$9:$BN$9,1),FALSE),0)+IFERROR(VLOOKUP($B25,'RA9-Codisposal Upper'!$A$11:$BN$18,MATCH(Summary!V$1,'RA9-Codisposal Upper'!$A$9:$BN$9,1),FALSE),0)+IFERROR(VLOOKUP($B25,'RA10-Codisposal Slopes'!$A$11:$BN$18,MATCH(Summary!V$1,'RA10-Codisposal Slopes'!$A$9:$BN$9,1),FALSE),0)+IFERROR(VLOOKUP($B25,'IA1-Final Void inc Ramps'!$A$11:$BN$18,MATCH(Summary!V$1,'IA1-Final Void inc Ramps'!$A$9:$BN$9,1),FALSE),0)</f>
        <v>0</v>
      </c>
      <c r="W25" s="51">
        <f>IFERROR(VLOOKUP($B25,'RA1- Elevated Dumps Upper'!$A$11:$BN$18,MATCH(Summary!W$1,'RA1- Elevated Dumps Upper'!$A$9:$BN$9,1),FALSE),0)+IFERROR(VLOOKUP($B25,'RA2-Elevated Dumps Slopes'!$A$11:$BN$18,MATCH(Summary!W$1,'RA2-Elevated Dumps Slopes'!$A$9:$BN$9,1),FALSE),0)+IFERROR(VLOOKUP($B25,'RA3-Backfilled Pits'!$A$11:$BN$18,MATCH(Summary!W$1,'RA3-Backfilled Pits'!$A$9:$BN$9,1),FALSE),0)+IFERROR(VLOOKUP($B25,'RA4-Tracks_Roads'!$A$11:$BN$18,MATCH(Summary!W$1,'RA4-Tracks_Roads'!$A$9:$BN$9,1),FALSE),0)+IFERROR(VLOOKUP($B25,'RA5-ROM'!$A$11:$BN$18,MATCH(Summary!W$1,'RA5-ROM'!$A$9:$BN$9,1),FALSE),0)+IFERROR(VLOOKUP($B25,'RA6-CHPP'!$A$11:$BN$18,MATCH(Summary!W$1,'RA6-CHPP'!$A$9:$BN$9,1),FALSE),0)+IFERROR(VLOOKUP($B25,'RA7-Mine Infrastructure Area'!$A$11:$BN$18,MATCH(Summary!W$1,'RA7-Mine Infrastructure Area'!$A$9:$BN$9,1),FALSE),0)+IFERROR(VLOOKUP($B25,'RA8-Water Management Structures'!$A$11:$BN$18,MATCH(Summary!W$1,'RA8-Water Management Structures'!$A$9:$BN$9,1),FALSE),0)+IFERROR(VLOOKUP($B25,'RA9-Codisposal Upper'!$A$11:$BN$18,MATCH(Summary!W$1,'RA9-Codisposal Upper'!$A$9:$BN$9,1),FALSE),0)+IFERROR(VLOOKUP($B25,'RA10-Codisposal Slopes'!$A$11:$BN$18,MATCH(Summary!W$1,'RA10-Codisposal Slopes'!$A$9:$BN$9,1),FALSE),0)+IFERROR(VLOOKUP($B25,'IA1-Final Void inc Ramps'!$A$11:$BN$18,MATCH(Summary!W$1,'IA1-Final Void inc Ramps'!$A$9:$BN$9,1),FALSE),0)</f>
        <v>0</v>
      </c>
      <c r="X25" s="51">
        <f>IFERROR(VLOOKUP($B25,'RA1- Elevated Dumps Upper'!$A$11:$BN$18,MATCH(Summary!X$1,'RA1- Elevated Dumps Upper'!$A$9:$BN$9,1),FALSE),0)+IFERROR(VLOOKUP($B25,'RA2-Elevated Dumps Slopes'!$A$11:$BN$18,MATCH(Summary!X$1,'RA2-Elevated Dumps Slopes'!$A$9:$BN$9,1),FALSE),0)+IFERROR(VLOOKUP($B25,'RA3-Backfilled Pits'!$A$11:$BN$18,MATCH(Summary!X$1,'RA3-Backfilled Pits'!$A$9:$BN$9,1),FALSE),0)+IFERROR(VLOOKUP($B25,'RA4-Tracks_Roads'!$A$11:$BN$18,MATCH(Summary!X$1,'RA4-Tracks_Roads'!$A$9:$BN$9,1),FALSE),0)+IFERROR(VLOOKUP($B25,'RA5-ROM'!$A$11:$BN$18,MATCH(Summary!X$1,'RA5-ROM'!$A$9:$BN$9,1),FALSE),0)+IFERROR(VLOOKUP($B25,'RA6-CHPP'!$A$11:$BN$18,MATCH(Summary!X$1,'RA6-CHPP'!$A$9:$BN$9,1),FALSE),0)+IFERROR(VLOOKUP($B25,'RA7-Mine Infrastructure Area'!$A$11:$BN$18,MATCH(Summary!X$1,'RA7-Mine Infrastructure Area'!$A$9:$BN$9,1),FALSE),0)+IFERROR(VLOOKUP($B25,'RA8-Water Management Structures'!$A$11:$BN$18,MATCH(Summary!X$1,'RA8-Water Management Structures'!$A$9:$BN$9,1),FALSE),0)+IFERROR(VLOOKUP($B25,'RA9-Codisposal Upper'!$A$11:$BN$18,MATCH(Summary!X$1,'RA9-Codisposal Upper'!$A$9:$BN$9,1),FALSE),0)+IFERROR(VLOOKUP($B25,'RA10-Codisposal Slopes'!$A$11:$BN$18,MATCH(Summary!X$1,'RA10-Codisposal Slopes'!$A$9:$BN$9,1),FALSE),0)+IFERROR(VLOOKUP($B25,'IA1-Final Void inc Ramps'!$A$11:$BN$18,MATCH(Summary!X$1,'IA1-Final Void inc Ramps'!$A$9:$BN$9,1),FALSE),0)</f>
        <v>0</v>
      </c>
      <c r="Y25" s="51">
        <f>IFERROR(VLOOKUP($B25,'RA1- Elevated Dumps Upper'!$A$11:$BN$18,MATCH(Summary!Y$1,'RA1- Elevated Dumps Upper'!$A$9:$BN$9,1),FALSE),0)+IFERROR(VLOOKUP($B25,'RA2-Elevated Dumps Slopes'!$A$11:$BN$18,MATCH(Summary!Y$1,'RA2-Elevated Dumps Slopes'!$A$9:$BN$9,1),FALSE),0)+IFERROR(VLOOKUP($B25,'RA3-Backfilled Pits'!$A$11:$BN$18,MATCH(Summary!Y$1,'RA3-Backfilled Pits'!$A$9:$BN$9,1),FALSE),0)+IFERROR(VLOOKUP($B25,'RA4-Tracks_Roads'!$A$11:$BN$18,MATCH(Summary!Y$1,'RA4-Tracks_Roads'!$A$9:$BN$9,1),FALSE),0)+IFERROR(VLOOKUP($B25,'RA5-ROM'!$A$11:$BN$18,MATCH(Summary!Y$1,'RA5-ROM'!$A$9:$BN$9,1),FALSE),0)+IFERROR(VLOOKUP($B25,'RA6-CHPP'!$A$11:$BN$18,MATCH(Summary!Y$1,'RA6-CHPP'!$A$9:$BN$9,1),FALSE),0)+IFERROR(VLOOKUP($B25,'RA7-Mine Infrastructure Area'!$A$11:$BN$18,MATCH(Summary!Y$1,'RA7-Mine Infrastructure Area'!$A$9:$BN$9,1),FALSE),0)+IFERROR(VLOOKUP($B25,'RA8-Water Management Structures'!$A$11:$BN$18,MATCH(Summary!Y$1,'RA8-Water Management Structures'!$A$9:$BN$9,1),FALSE),0)+IFERROR(VLOOKUP($B25,'RA9-Codisposal Upper'!$A$11:$BN$18,MATCH(Summary!Y$1,'RA9-Codisposal Upper'!$A$9:$BN$9,1),FALSE),0)+IFERROR(VLOOKUP($B25,'RA10-Codisposal Slopes'!$A$11:$BN$18,MATCH(Summary!Y$1,'RA10-Codisposal Slopes'!$A$9:$BN$9,1),FALSE),0)+IFERROR(VLOOKUP($B25,'IA1-Final Void inc Ramps'!$A$11:$BN$18,MATCH(Summary!Y$1,'IA1-Final Void inc Ramps'!$A$9:$BN$9,1),FALSE),0)</f>
        <v>0</v>
      </c>
      <c r="Z25" s="51">
        <f>IFERROR(VLOOKUP($B25,'RA1- Elevated Dumps Upper'!$A$11:$BN$18,MATCH(Summary!Z$1,'RA1- Elevated Dumps Upper'!$A$9:$BN$9,1),FALSE),0)+IFERROR(VLOOKUP($B25,'RA2-Elevated Dumps Slopes'!$A$11:$BN$18,MATCH(Summary!Z$1,'RA2-Elevated Dumps Slopes'!$A$9:$BN$9,1),FALSE),0)+IFERROR(VLOOKUP($B25,'RA3-Backfilled Pits'!$A$11:$BN$18,MATCH(Summary!Z$1,'RA3-Backfilled Pits'!$A$9:$BN$9,1),FALSE),0)+IFERROR(VLOOKUP($B25,'RA4-Tracks_Roads'!$A$11:$BN$18,MATCH(Summary!Z$1,'RA4-Tracks_Roads'!$A$9:$BN$9,1),FALSE),0)+IFERROR(VLOOKUP($B25,'RA5-ROM'!$A$11:$BN$18,MATCH(Summary!Z$1,'RA5-ROM'!$A$9:$BN$9,1),FALSE),0)+IFERROR(VLOOKUP($B25,'RA6-CHPP'!$A$11:$BN$18,MATCH(Summary!Z$1,'RA6-CHPP'!$A$9:$BN$9,1),FALSE),0)+IFERROR(VLOOKUP($B25,'RA7-Mine Infrastructure Area'!$A$11:$BN$18,MATCH(Summary!Z$1,'RA7-Mine Infrastructure Area'!$A$9:$BN$9,1),FALSE),0)+IFERROR(VLOOKUP($B25,'RA8-Water Management Structures'!$A$11:$BN$18,MATCH(Summary!Z$1,'RA8-Water Management Structures'!$A$9:$BN$9,1),FALSE),0)+IFERROR(VLOOKUP($B25,'RA9-Codisposal Upper'!$A$11:$BN$18,MATCH(Summary!Z$1,'RA9-Codisposal Upper'!$A$9:$BN$9,1),FALSE),0)+IFERROR(VLOOKUP($B25,'RA10-Codisposal Slopes'!$A$11:$BN$18,MATCH(Summary!Z$1,'RA10-Codisposal Slopes'!$A$9:$BN$9,1),FALSE),0)+IFERROR(VLOOKUP($B25,'IA1-Final Void inc Ramps'!$A$11:$BN$18,MATCH(Summary!Z$1,'IA1-Final Void inc Ramps'!$A$9:$BN$9,1),FALSE),0)</f>
        <v>0</v>
      </c>
      <c r="AA25" s="51">
        <f>IFERROR(VLOOKUP($B25,'RA1- Elevated Dumps Upper'!$A$11:$BN$18,MATCH(Summary!AA$1,'RA1- Elevated Dumps Upper'!$A$9:$BN$9,1),FALSE),0)+IFERROR(VLOOKUP($B25,'RA2-Elevated Dumps Slopes'!$A$11:$BN$18,MATCH(Summary!AA$1,'RA2-Elevated Dumps Slopes'!$A$9:$BN$9,1),FALSE),0)+IFERROR(VLOOKUP($B25,'RA3-Backfilled Pits'!$A$11:$BN$18,MATCH(Summary!AA$1,'RA3-Backfilled Pits'!$A$9:$BN$9,1),FALSE),0)+IFERROR(VLOOKUP($B25,'RA4-Tracks_Roads'!$A$11:$BN$18,MATCH(Summary!AA$1,'RA4-Tracks_Roads'!$A$9:$BN$9,1),FALSE),0)+IFERROR(VLOOKUP($B25,'RA5-ROM'!$A$11:$BN$18,MATCH(Summary!AA$1,'RA5-ROM'!$A$9:$BN$9,1),FALSE),0)+IFERROR(VLOOKUP($B25,'RA6-CHPP'!$A$11:$BN$18,MATCH(Summary!AA$1,'RA6-CHPP'!$A$9:$BN$9,1),FALSE),0)+IFERROR(VLOOKUP($B25,'RA7-Mine Infrastructure Area'!$A$11:$BN$18,MATCH(Summary!AA$1,'RA7-Mine Infrastructure Area'!$A$9:$BN$9,1),FALSE),0)+IFERROR(VLOOKUP($B25,'RA8-Water Management Structures'!$A$11:$BN$18,MATCH(Summary!AA$1,'RA8-Water Management Structures'!$A$9:$BN$9,1),FALSE),0)+IFERROR(VLOOKUP($B25,'RA9-Codisposal Upper'!$A$11:$BN$18,MATCH(Summary!AA$1,'RA9-Codisposal Upper'!$A$9:$BN$9,1),FALSE),0)+IFERROR(VLOOKUP($B25,'RA10-Codisposal Slopes'!$A$11:$BN$18,MATCH(Summary!AA$1,'RA10-Codisposal Slopes'!$A$9:$BN$9,1),FALSE),0)+IFERROR(VLOOKUP($B25,'IA1-Final Void inc Ramps'!$A$11:$BN$18,MATCH(Summary!AA$1,'IA1-Final Void inc Ramps'!$A$9:$BN$9,1),FALSE),0)</f>
        <v>0</v>
      </c>
      <c r="AB25" s="51">
        <f>IFERROR(VLOOKUP($B25,'RA1- Elevated Dumps Upper'!$A$11:$BN$18,MATCH(Summary!AB$1,'RA1- Elevated Dumps Upper'!$A$9:$BN$9,1),FALSE),0)+IFERROR(VLOOKUP($B25,'RA2-Elevated Dumps Slopes'!$A$11:$BN$18,MATCH(Summary!AB$1,'RA2-Elevated Dumps Slopes'!$A$9:$BN$9,1),FALSE),0)+IFERROR(VLOOKUP($B25,'RA3-Backfilled Pits'!$A$11:$BN$18,MATCH(Summary!AB$1,'RA3-Backfilled Pits'!$A$9:$BN$9,1),FALSE),0)+IFERROR(VLOOKUP($B25,'RA4-Tracks_Roads'!$A$11:$BN$18,MATCH(Summary!AB$1,'RA4-Tracks_Roads'!$A$9:$BN$9,1),FALSE),0)+IFERROR(VLOOKUP($B25,'RA5-ROM'!$A$11:$BN$18,MATCH(Summary!AB$1,'RA5-ROM'!$A$9:$BN$9,1),FALSE),0)+IFERROR(VLOOKUP($B25,'RA6-CHPP'!$A$11:$BN$18,MATCH(Summary!AB$1,'RA6-CHPP'!$A$9:$BN$9,1),FALSE),0)+IFERROR(VLOOKUP($B25,'RA7-Mine Infrastructure Area'!$A$11:$BN$18,MATCH(Summary!AB$1,'RA7-Mine Infrastructure Area'!$A$9:$BN$9,1),FALSE),0)+IFERROR(VLOOKUP($B25,'RA8-Water Management Structures'!$A$11:$BN$18,MATCH(Summary!AB$1,'RA8-Water Management Structures'!$A$9:$BN$9,1),FALSE),0)+IFERROR(VLOOKUP($B25,'RA9-Codisposal Upper'!$A$11:$BN$18,MATCH(Summary!AB$1,'RA9-Codisposal Upper'!$A$9:$BN$9,1),FALSE),0)+IFERROR(VLOOKUP($B25,'RA10-Codisposal Slopes'!$A$11:$BN$18,MATCH(Summary!AB$1,'RA10-Codisposal Slopes'!$A$9:$BN$9,1),FALSE),0)+IFERROR(VLOOKUP($B25,'IA1-Final Void inc Ramps'!$A$11:$BN$18,MATCH(Summary!AB$1,'IA1-Final Void inc Ramps'!$A$9:$BN$9,1),FALSE),0)</f>
        <v>0</v>
      </c>
      <c r="AC25" s="51">
        <f>IFERROR(VLOOKUP($B25,'RA1- Elevated Dumps Upper'!$A$11:$BN$18,MATCH(Summary!AC$1,'RA1- Elevated Dumps Upper'!$A$9:$BN$9,1),FALSE),0)+IFERROR(VLOOKUP($B25,'RA2-Elevated Dumps Slopes'!$A$11:$BN$18,MATCH(Summary!AC$1,'RA2-Elevated Dumps Slopes'!$A$9:$BN$9,1),FALSE),0)+IFERROR(VLOOKUP($B25,'RA3-Backfilled Pits'!$A$11:$BN$18,MATCH(Summary!AC$1,'RA3-Backfilled Pits'!$A$9:$BN$9,1),FALSE),0)+IFERROR(VLOOKUP($B25,'RA4-Tracks_Roads'!$A$11:$BN$18,MATCH(Summary!AC$1,'RA4-Tracks_Roads'!$A$9:$BN$9,1),FALSE),0)+IFERROR(VLOOKUP($B25,'RA5-ROM'!$A$11:$BN$18,MATCH(Summary!AC$1,'RA5-ROM'!$A$9:$BN$9,1),FALSE),0)+IFERROR(VLOOKUP($B25,'RA6-CHPP'!$A$11:$BN$18,MATCH(Summary!AC$1,'RA6-CHPP'!$A$9:$BN$9,1),FALSE),0)+IFERROR(VLOOKUP($B25,'RA7-Mine Infrastructure Area'!$A$11:$BN$18,MATCH(Summary!AC$1,'RA7-Mine Infrastructure Area'!$A$9:$BN$9,1),FALSE),0)+IFERROR(VLOOKUP($B25,'RA8-Water Management Structures'!$A$11:$BN$18,MATCH(Summary!AC$1,'RA8-Water Management Structures'!$A$9:$BN$9,1),FALSE),0)+IFERROR(VLOOKUP($B25,'RA9-Codisposal Upper'!$A$11:$BN$18,MATCH(Summary!AC$1,'RA9-Codisposal Upper'!$A$9:$BN$9,1),FALSE),0)+IFERROR(VLOOKUP($B25,'RA10-Codisposal Slopes'!$A$11:$BN$18,MATCH(Summary!AC$1,'RA10-Codisposal Slopes'!$A$9:$BN$9,1),FALSE),0)+IFERROR(VLOOKUP($B25,'IA1-Final Void inc Ramps'!$A$11:$BN$18,MATCH(Summary!AC$1,'IA1-Final Void inc Ramps'!$A$9:$BN$9,1),FALSE),0)</f>
        <v>0</v>
      </c>
      <c r="AD25" s="51">
        <f>IFERROR(VLOOKUP($B25,'RA1- Elevated Dumps Upper'!$A$11:$BN$18,MATCH(Summary!AD$1,'RA1- Elevated Dumps Upper'!$A$9:$BN$9,1),FALSE),0)+IFERROR(VLOOKUP($B25,'RA2-Elevated Dumps Slopes'!$A$11:$BN$18,MATCH(Summary!AD$1,'RA2-Elevated Dumps Slopes'!$A$9:$BN$9,1),FALSE),0)+IFERROR(VLOOKUP($B25,'RA3-Backfilled Pits'!$A$11:$BN$18,MATCH(Summary!AD$1,'RA3-Backfilled Pits'!$A$9:$BN$9,1),FALSE),0)+IFERROR(VLOOKUP($B25,'RA4-Tracks_Roads'!$A$11:$BN$18,MATCH(Summary!AD$1,'RA4-Tracks_Roads'!$A$9:$BN$9,1),FALSE),0)+IFERROR(VLOOKUP($B25,'RA5-ROM'!$A$11:$BN$18,MATCH(Summary!AD$1,'RA5-ROM'!$A$9:$BN$9,1),FALSE),0)+IFERROR(VLOOKUP($B25,'RA6-CHPP'!$A$11:$BN$18,MATCH(Summary!AD$1,'RA6-CHPP'!$A$9:$BN$9,1),FALSE),0)+IFERROR(VLOOKUP($B25,'RA7-Mine Infrastructure Area'!$A$11:$BN$18,MATCH(Summary!AD$1,'RA7-Mine Infrastructure Area'!$A$9:$BN$9,1),FALSE),0)+IFERROR(VLOOKUP($B25,'RA8-Water Management Structures'!$A$11:$BN$18,MATCH(Summary!AD$1,'RA8-Water Management Structures'!$A$9:$BN$9,1),FALSE),0)+IFERROR(VLOOKUP($B25,'RA9-Codisposal Upper'!$A$11:$BN$18,MATCH(Summary!AD$1,'RA9-Codisposal Upper'!$A$9:$BN$9,1),FALSE),0)+IFERROR(VLOOKUP($B25,'RA10-Codisposal Slopes'!$A$11:$BN$18,MATCH(Summary!AD$1,'RA10-Codisposal Slopes'!$A$9:$BN$9,1),FALSE),0)+IFERROR(VLOOKUP($B25,'IA1-Final Void inc Ramps'!$A$11:$BN$18,MATCH(Summary!AD$1,'IA1-Final Void inc Ramps'!$A$9:$BN$9,1),FALSE),0)</f>
        <v>0</v>
      </c>
      <c r="AE25" s="51">
        <f>IFERROR(VLOOKUP($B25,'RA1- Elevated Dumps Upper'!$A$11:$BN$18,MATCH(Summary!AE$1,'RA1- Elevated Dumps Upper'!$A$9:$BN$9,1),FALSE),0)+IFERROR(VLOOKUP($B25,'RA2-Elevated Dumps Slopes'!$A$11:$BN$18,MATCH(Summary!AE$1,'RA2-Elevated Dumps Slopes'!$A$9:$BN$9,1),FALSE),0)+IFERROR(VLOOKUP($B25,'RA3-Backfilled Pits'!$A$11:$BN$18,MATCH(Summary!AE$1,'RA3-Backfilled Pits'!$A$9:$BN$9,1),FALSE),0)+IFERROR(VLOOKUP($B25,'RA4-Tracks_Roads'!$A$11:$BN$18,MATCH(Summary!AE$1,'RA4-Tracks_Roads'!$A$9:$BN$9,1),FALSE),0)+IFERROR(VLOOKUP($B25,'RA5-ROM'!$A$11:$BN$18,MATCH(Summary!AE$1,'RA5-ROM'!$A$9:$BN$9,1),FALSE),0)+IFERROR(VLOOKUP($B25,'RA6-CHPP'!$A$11:$BN$18,MATCH(Summary!AE$1,'RA6-CHPP'!$A$9:$BN$9,1),FALSE),0)+IFERROR(VLOOKUP($B25,'RA7-Mine Infrastructure Area'!$A$11:$BN$18,MATCH(Summary!AE$1,'RA7-Mine Infrastructure Area'!$A$9:$BN$9,1),FALSE),0)+IFERROR(VLOOKUP($B25,'RA8-Water Management Structures'!$A$11:$BN$18,MATCH(Summary!AE$1,'RA8-Water Management Structures'!$A$9:$BN$9,1),FALSE),0)+IFERROR(VLOOKUP($B25,'RA9-Codisposal Upper'!$A$11:$BN$18,MATCH(Summary!AE$1,'RA9-Codisposal Upper'!$A$9:$BN$9,1),FALSE),0)+IFERROR(VLOOKUP($B25,'RA10-Codisposal Slopes'!$A$11:$BN$18,MATCH(Summary!AE$1,'RA10-Codisposal Slopes'!$A$9:$BN$9,1),FALSE),0)+IFERROR(VLOOKUP($B25,'IA1-Final Void inc Ramps'!$A$11:$BN$18,MATCH(Summary!AE$1,'IA1-Final Void inc Ramps'!$A$9:$BN$9,1),FALSE),0)</f>
        <v>0</v>
      </c>
      <c r="AF25" s="51">
        <f>IFERROR(VLOOKUP($B25,'RA1- Elevated Dumps Upper'!$A$11:$BN$18,MATCH(Summary!AF$1,'RA1- Elevated Dumps Upper'!$A$9:$BN$9,1),FALSE),0)+IFERROR(VLOOKUP($B25,'RA2-Elevated Dumps Slopes'!$A$11:$BN$18,MATCH(Summary!AF$1,'RA2-Elevated Dumps Slopes'!$A$9:$BN$9,1),FALSE),0)+IFERROR(VLOOKUP($B25,'RA3-Backfilled Pits'!$A$11:$BN$18,MATCH(Summary!AF$1,'RA3-Backfilled Pits'!$A$9:$BN$9,1),FALSE),0)+IFERROR(VLOOKUP($B25,'RA4-Tracks_Roads'!$A$11:$BN$18,MATCH(Summary!AF$1,'RA4-Tracks_Roads'!$A$9:$BN$9,1),FALSE),0)+IFERROR(VLOOKUP($B25,'RA5-ROM'!$A$11:$BN$18,MATCH(Summary!AF$1,'RA5-ROM'!$A$9:$BN$9,1),FALSE),0)+IFERROR(VLOOKUP($B25,'RA6-CHPP'!$A$11:$BN$18,MATCH(Summary!AF$1,'RA6-CHPP'!$A$9:$BN$9,1),FALSE),0)+IFERROR(VLOOKUP($B25,'RA7-Mine Infrastructure Area'!$A$11:$BN$18,MATCH(Summary!AF$1,'RA7-Mine Infrastructure Area'!$A$9:$BN$9,1),FALSE),0)+IFERROR(VLOOKUP($B25,'RA8-Water Management Structures'!$A$11:$BN$18,MATCH(Summary!AF$1,'RA8-Water Management Structures'!$A$9:$BN$9,1),FALSE),0)+IFERROR(VLOOKUP($B25,'RA9-Codisposal Upper'!$A$11:$BN$18,MATCH(Summary!AF$1,'RA9-Codisposal Upper'!$A$9:$BN$9,1),FALSE),0)+IFERROR(VLOOKUP($B25,'RA10-Codisposal Slopes'!$A$11:$BN$18,MATCH(Summary!AF$1,'RA10-Codisposal Slopes'!$A$9:$BN$9,1),FALSE),0)+IFERROR(VLOOKUP($B25,'IA1-Final Void inc Ramps'!$A$11:$BN$18,MATCH(Summary!AF$1,'IA1-Final Void inc Ramps'!$A$9:$BN$9,1),FALSE),0)</f>
        <v>0</v>
      </c>
      <c r="AG25" s="51">
        <f>IFERROR(VLOOKUP($B25,'RA1- Elevated Dumps Upper'!$A$11:$BN$18,MATCH(Summary!AG$1,'RA1- Elevated Dumps Upper'!$A$9:$BN$9,1),FALSE),0)+IFERROR(VLOOKUP($B25,'RA2-Elevated Dumps Slopes'!$A$11:$BN$18,MATCH(Summary!AG$1,'RA2-Elevated Dumps Slopes'!$A$9:$BN$9,1),FALSE),0)+IFERROR(VLOOKUP($B25,'RA3-Backfilled Pits'!$A$11:$BN$18,MATCH(Summary!AG$1,'RA3-Backfilled Pits'!$A$9:$BN$9,1),FALSE),0)+IFERROR(VLOOKUP($B25,'RA4-Tracks_Roads'!$A$11:$BN$18,MATCH(Summary!AG$1,'RA4-Tracks_Roads'!$A$9:$BN$9,1),FALSE),0)+IFERROR(VLOOKUP($B25,'RA5-ROM'!$A$11:$BN$18,MATCH(Summary!AG$1,'RA5-ROM'!$A$9:$BN$9,1),FALSE),0)+IFERROR(VLOOKUP($B25,'RA6-CHPP'!$A$11:$BN$18,MATCH(Summary!AG$1,'RA6-CHPP'!$A$9:$BN$9,1),FALSE),0)+IFERROR(VLOOKUP($B25,'RA7-Mine Infrastructure Area'!$A$11:$BN$18,MATCH(Summary!AG$1,'RA7-Mine Infrastructure Area'!$A$9:$BN$9,1),FALSE),0)+IFERROR(VLOOKUP($B25,'RA8-Water Management Structures'!$A$11:$BN$18,MATCH(Summary!AG$1,'RA8-Water Management Structures'!$A$9:$BN$9,1),FALSE),0)+IFERROR(VLOOKUP($B25,'RA9-Codisposal Upper'!$A$11:$BN$18,MATCH(Summary!AG$1,'RA9-Codisposal Upper'!$A$9:$BN$9,1),FALSE),0)+IFERROR(VLOOKUP($B25,'RA10-Codisposal Slopes'!$A$11:$BN$18,MATCH(Summary!AG$1,'RA10-Codisposal Slopes'!$A$9:$BN$9,1),FALSE),0)+IFERROR(VLOOKUP($B25,'IA1-Final Void inc Ramps'!$A$11:$BN$18,MATCH(Summary!AG$1,'IA1-Final Void inc Ramps'!$A$9:$BN$9,1),FALSE),0)</f>
        <v>171.6</v>
      </c>
      <c r="AH25" s="51">
        <f>IFERROR(VLOOKUP($B25,'RA1- Elevated Dumps Upper'!$A$11:$BN$18,MATCH(Summary!AH$1,'RA1- Elevated Dumps Upper'!$A$9:$BN$9,1),FALSE),0)+IFERROR(VLOOKUP($B25,'RA2-Elevated Dumps Slopes'!$A$11:$BN$18,MATCH(Summary!AH$1,'RA2-Elevated Dumps Slopes'!$A$9:$BN$9,1),FALSE),0)+IFERROR(VLOOKUP($B25,'RA3-Backfilled Pits'!$A$11:$BN$18,MATCH(Summary!AH$1,'RA3-Backfilled Pits'!$A$9:$BN$9,1),FALSE),0)+IFERROR(VLOOKUP($B25,'RA4-Tracks_Roads'!$A$11:$BN$18,MATCH(Summary!AH$1,'RA4-Tracks_Roads'!$A$9:$BN$9,1),FALSE),0)+IFERROR(VLOOKUP($B25,'RA5-ROM'!$A$11:$BN$18,MATCH(Summary!AH$1,'RA5-ROM'!$A$9:$BN$9,1),FALSE),0)+IFERROR(VLOOKUP($B25,'RA6-CHPP'!$A$11:$BN$18,MATCH(Summary!AH$1,'RA6-CHPP'!$A$9:$BN$9,1),FALSE),0)+IFERROR(VLOOKUP($B25,'RA7-Mine Infrastructure Area'!$A$11:$BN$18,MATCH(Summary!AH$1,'RA7-Mine Infrastructure Area'!$A$9:$BN$9,1),FALSE),0)+IFERROR(VLOOKUP($B25,'RA8-Water Management Structures'!$A$11:$BN$18,MATCH(Summary!AH$1,'RA8-Water Management Structures'!$A$9:$BN$9,1),FALSE),0)+IFERROR(VLOOKUP($B25,'RA9-Codisposal Upper'!$A$11:$BN$18,MATCH(Summary!AH$1,'RA9-Codisposal Upper'!$A$9:$BN$9,1),FALSE),0)+IFERROR(VLOOKUP($B25,'RA10-Codisposal Slopes'!$A$11:$BN$18,MATCH(Summary!AH$1,'RA10-Codisposal Slopes'!$A$9:$BN$9,1),FALSE),0)+IFERROR(VLOOKUP($B25,'IA1-Final Void inc Ramps'!$A$11:$BN$18,MATCH(Summary!AH$1,'IA1-Final Void inc Ramps'!$A$9:$BN$9,1),FALSE),0)</f>
        <v>171.6</v>
      </c>
      <c r="AI25" s="51">
        <f>IFERROR(VLOOKUP($B25,'RA1- Elevated Dumps Upper'!$A$11:$BN$18,MATCH(Summary!AI$1,'RA1- Elevated Dumps Upper'!$A$9:$BN$9,1),FALSE),0)+IFERROR(VLOOKUP($B25,'RA2-Elevated Dumps Slopes'!$A$11:$BN$18,MATCH(Summary!AI$1,'RA2-Elevated Dumps Slopes'!$A$9:$BN$9,1),FALSE),0)+IFERROR(VLOOKUP($B25,'RA3-Backfilled Pits'!$A$11:$BN$18,MATCH(Summary!AI$1,'RA3-Backfilled Pits'!$A$9:$BN$9,1),FALSE),0)+IFERROR(VLOOKUP($B25,'RA4-Tracks_Roads'!$A$11:$BN$18,MATCH(Summary!AI$1,'RA4-Tracks_Roads'!$A$9:$BN$9,1),FALSE),0)+IFERROR(VLOOKUP($B25,'RA5-ROM'!$A$11:$BN$18,MATCH(Summary!AI$1,'RA5-ROM'!$A$9:$BN$9,1),FALSE),0)+IFERROR(VLOOKUP($B25,'RA6-CHPP'!$A$11:$BN$18,MATCH(Summary!AI$1,'RA6-CHPP'!$A$9:$BN$9,1),FALSE),0)+IFERROR(VLOOKUP($B25,'RA7-Mine Infrastructure Area'!$A$11:$BN$18,MATCH(Summary!AI$1,'RA7-Mine Infrastructure Area'!$A$9:$BN$9,1),FALSE),0)+IFERROR(VLOOKUP($B25,'RA8-Water Management Structures'!$A$11:$BN$18,MATCH(Summary!AI$1,'RA8-Water Management Structures'!$A$9:$BN$9,1),FALSE),0)+IFERROR(VLOOKUP($B25,'RA9-Codisposal Upper'!$A$11:$BN$18,MATCH(Summary!AI$1,'RA9-Codisposal Upper'!$A$9:$BN$9,1),FALSE),0)+IFERROR(VLOOKUP($B25,'RA10-Codisposal Slopes'!$A$11:$BN$18,MATCH(Summary!AI$1,'RA10-Codisposal Slopes'!$A$9:$BN$9,1),FALSE),0)+IFERROR(VLOOKUP($B25,'IA1-Final Void inc Ramps'!$A$11:$BN$18,MATCH(Summary!AI$1,'IA1-Final Void inc Ramps'!$A$9:$BN$9,1),FALSE),0)</f>
        <v>171.6</v>
      </c>
      <c r="AJ25" s="51">
        <f>IFERROR(VLOOKUP($B25,'RA1- Elevated Dumps Upper'!$A$11:$BN$18,MATCH(Summary!AJ$1,'RA1- Elevated Dumps Upper'!$A$9:$BN$9,1),FALSE),0)+IFERROR(VLOOKUP($B25,'RA2-Elevated Dumps Slopes'!$A$11:$BN$18,MATCH(Summary!AJ$1,'RA2-Elevated Dumps Slopes'!$A$9:$BN$9,1),FALSE),0)+IFERROR(VLOOKUP($B25,'RA3-Backfilled Pits'!$A$11:$BN$18,MATCH(Summary!AJ$1,'RA3-Backfilled Pits'!$A$9:$BN$9,1),FALSE),0)+IFERROR(VLOOKUP($B25,'RA4-Tracks_Roads'!$A$11:$BN$18,MATCH(Summary!AJ$1,'RA4-Tracks_Roads'!$A$9:$BN$9,1),FALSE),0)+IFERROR(VLOOKUP($B25,'RA5-ROM'!$A$11:$BN$18,MATCH(Summary!AJ$1,'RA5-ROM'!$A$9:$BN$9,1),FALSE),0)+IFERROR(VLOOKUP($B25,'RA6-CHPP'!$A$11:$BN$18,MATCH(Summary!AJ$1,'RA6-CHPP'!$A$9:$BN$9,1),FALSE),0)+IFERROR(VLOOKUP($B25,'RA7-Mine Infrastructure Area'!$A$11:$BN$18,MATCH(Summary!AJ$1,'RA7-Mine Infrastructure Area'!$A$9:$BN$9,1),FALSE),0)+IFERROR(VLOOKUP($B25,'RA8-Water Management Structures'!$A$11:$BN$18,MATCH(Summary!AJ$1,'RA8-Water Management Structures'!$A$9:$BN$9,1),FALSE),0)+IFERROR(VLOOKUP($B25,'RA9-Codisposal Upper'!$A$11:$BN$18,MATCH(Summary!AJ$1,'RA9-Codisposal Upper'!$A$9:$BN$9,1),FALSE),0)+IFERROR(VLOOKUP($B25,'RA10-Codisposal Slopes'!$A$11:$BN$18,MATCH(Summary!AJ$1,'RA10-Codisposal Slopes'!$A$9:$BN$9,1),FALSE),0)+IFERROR(VLOOKUP($B25,'IA1-Final Void inc Ramps'!$A$11:$BN$18,MATCH(Summary!AJ$1,'IA1-Final Void inc Ramps'!$A$9:$BN$9,1),FALSE),0)</f>
        <v>171.6</v>
      </c>
      <c r="AK25" s="51">
        <f>IFERROR(VLOOKUP($B25,'RA1- Elevated Dumps Upper'!$A$11:$BN$18,MATCH(Summary!AK$1,'RA1- Elevated Dumps Upper'!$A$9:$BN$9,1),FALSE),0)+IFERROR(VLOOKUP($B25,'RA2-Elevated Dumps Slopes'!$A$11:$BN$18,MATCH(Summary!AK$1,'RA2-Elevated Dumps Slopes'!$A$9:$BN$9,1),FALSE),0)+IFERROR(VLOOKUP($B25,'RA3-Backfilled Pits'!$A$11:$BN$18,MATCH(Summary!AK$1,'RA3-Backfilled Pits'!$A$9:$BN$9,1),FALSE),0)+IFERROR(VLOOKUP($B25,'RA4-Tracks_Roads'!$A$11:$BN$18,MATCH(Summary!AK$1,'RA4-Tracks_Roads'!$A$9:$BN$9,1),FALSE),0)+IFERROR(VLOOKUP($B25,'RA5-ROM'!$A$11:$BN$18,MATCH(Summary!AK$1,'RA5-ROM'!$A$9:$BN$9,1),FALSE),0)+IFERROR(VLOOKUP($B25,'RA6-CHPP'!$A$11:$BN$18,MATCH(Summary!AK$1,'RA6-CHPP'!$A$9:$BN$9,1),FALSE),0)+IFERROR(VLOOKUP($B25,'RA7-Mine Infrastructure Area'!$A$11:$BN$18,MATCH(Summary!AK$1,'RA7-Mine Infrastructure Area'!$A$9:$BN$9,1),FALSE),0)+IFERROR(VLOOKUP($B25,'RA8-Water Management Structures'!$A$11:$BN$18,MATCH(Summary!AK$1,'RA8-Water Management Structures'!$A$9:$BN$9,1),FALSE),0)+IFERROR(VLOOKUP($B25,'RA9-Codisposal Upper'!$A$11:$BN$18,MATCH(Summary!AK$1,'RA9-Codisposal Upper'!$A$9:$BN$9,1),FALSE),0)+IFERROR(VLOOKUP($B25,'RA10-Codisposal Slopes'!$A$11:$BN$18,MATCH(Summary!AK$1,'RA10-Codisposal Slopes'!$A$9:$BN$9,1),FALSE),0)+IFERROR(VLOOKUP($B25,'IA1-Final Void inc Ramps'!$A$11:$BN$18,MATCH(Summary!AK$1,'IA1-Final Void inc Ramps'!$A$9:$BN$9,1),FALSE),0)</f>
        <v>171.6</v>
      </c>
      <c r="AL25" s="51">
        <f>IFERROR(VLOOKUP($B25,'RA1- Elevated Dumps Upper'!$A$11:$BN$18,MATCH(Summary!AL$1,'RA1- Elevated Dumps Upper'!$A$9:$BN$9,1),FALSE),0)+IFERROR(VLOOKUP($B25,'RA2-Elevated Dumps Slopes'!$A$11:$BN$18,MATCH(Summary!AL$1,'RA2-Elevated Dumps Slopes'!$A$9:$BN$9,1),FALSE),0)+IFERROR(VLOOKUP($B25,'RA3-Backfilled Pits'!$A$11:$BN$18,MATCH(Summary!AL$1,'RA3-Backfilled Pits'!$A$9:$BN$9,1),FALSE),0)+IFERROR(VLOOKUP($B25,'RA4-Tracks_Roads'!$A$11:$BN$18,MATCH(Summary!AL$1,'RA4-Tracks_Roads'!$A$9:$BN$9,1),FALSE),0)+IFERROR(VLOOKUP($B25,'RA5-ROM'!$A$11:$BN$18,MATCH(Summary!AL$1,'RA5-ROM'!$A$9:$BN$9,1),FALSE),0)+IFERROR(VLOOKUP($B25,'RA6-CHPP'!$A$11:$BN$18,MATCH(Summary!AL$1,'RA6-CHPP'!$A$9:$BN$9,1),FALSE),0)+IFERROR(VLOOKUP($B25,'RA7-Mine Infrastructure Area'!$A$11:$BN$18,MATCH(Summary!AL$1,'RA7-Mine Infrastructure Area'!$A$9:$BN$9,1),FALSE),0)+IFERROR(VLOOKUP($B25,'RA8-Water Management Structures'!$A$11:$BN$18,MATCH(Summary!AL$1,'RA8-Water Management Structures'!$A$9:$BN$9,1),FALSE),0)+IFERROR(VLOOKUP($B25,'RA9-Codisposal Upper'!$A$11:$BN$18,MATCH(Summary!AL$1,'RA9-Codisposal Upper'!$A$9:$BN$9,1),FALSE),0)+IFERROR(VLOOKUP($B25,'RA10-Codisposal Slopes'!$A$11:$BN$18,MATCH(Summary!AL$1,'RA10-Codisposal Slopes'!$A$9:$BN$9,1),FALSE),0)+IFERROR(VLOOKUP($B25,'IA1-Final Void inc Ramps'!$A$11:$BN$18,MATCH(Summary!AL$1,'IA1-Final Void inc Ramps'!$A$9:$BN$9,1),FALSE),0)</f>
        <v>171.6</v>
      </c>
      <c r="AM25" s="51">
        <f>IFERROR(VLOOKUP($B25,'RA1- Elevated Dumps Upper'!$A$11:$BN$18,MATCH(Summary!AM$1,'RA1- Elevated Dumps Upper'!$A$9:$BN$9,1),FALSE),0)+IFERROR(VLOOKUP($B25,'RA2-Elevated Dumps Slopes'!$A$11:$BN$18,MATCH(Summary!AM$1,'RA2-Elevated Dumps Slopes'!$A$9:$BN$9,1),FALSE),0)+IFERROR(VLOOKUP($B25,'RA3-Backfilled Pits'!$A$11:$BN$18,MATCH(Summary!AM$1,'RA3-Backfilled Pits'!$A$9:$BN$9,1),FALSE),0)+IFERROR(VLOOKUP($B25,'RA4-Tracks_Roads'!$A$11:$BN$18,MATCH(Summary!AM$1,'RA4-Tracks_Roads'!$A$9:$BN$9,1),FALSE),0)+IFERROR(VLOOKUP($B25,'RA5-ROM'!$A$11:$BN$18,MATCH(Summary!AM$1,'RA5-ROM'!$A$9:$BN$9,1),FALSE),0)+IFERROR(VLOOKUP($B25,'RA6-CHPP'!$A$11:$BN$18,MATCH(Summary!AM$1,'RA6-CHPP'!$A$9:$BN$9,1),FALSE),0)+IFERROR(VLOOKUP($B25,'RA7-Mine Infrastructure Area'!$A$11:$BN$18,MATCH(Summary!AM$1,'RA7-Mine Infrastructure Area'!$A$9:$BN$9,1),FALSE),0)+IFERROR(VLOOKUP($B25,'RA8-Water Management Structures'!$A$11:$BN$18,MATCH(Summary!AM$1,'RA8-Water Management Structures'!$A$9:$BN$9,1),FALSE),0)+IFERROR(VLOOKUP($B25,'RA9-Codisposal Upper'!$A$11:$BN$18,MATCH(Summary!AM$1,'RA9-Codisposal Upper'!$A$9:$BN$9,1),FALSE),0)+IFERROR(VLOOKUP($B25,'RA10-Codisposal Slopes'!$A$11:$BN$18,MATCH(Summary!AM$1,'RA10-Codisposal Slopes'!$A$9:$BN$9,1),FALSE),0)+IFERROR(VLOOKUP($B25,'IA1-Final Void inc Ramps'!$A$11:$BN$18,MATCH(Summary!AM$1,'IA1-Final Void inc Ramps'!$A$9:$BN$9,1),FALSE),0)</f>
        <v>171.6</v>
      </c>
      <c r="AN25" s="51">
        <f>IFERROR(VLOOKUP($B25,'RA1- Elevated Dumps Upper'!$A$11:$BN$18,MATCH(Summary!AN$1,'RA1- Elevated Dumps Upper'!$A$9:$BN$9,1),FALSE),0)+IFERROR(VLOOKUP($B25,'RA2-Elevated Dumps Slopes'!$A$11:$BN$18,MATCH(Summary!AN$1,'RA2-Elevated Dumps Slopes'!$A$9:$BN$9,1),FALSE),0)+IFERROR(VLOOKUP($B25,'RA3-Backfilled Pits'!$A$11:$BN$18,MATCH(Summary!AN$1,'RA3-Backfilled Pits'!$A$9:$BN$9,1),FALSE),0)+IFERROR(VLOOKUP($B25,'RA4-Tracks_Roads'!$A$11:$BN$18,MATCH(Summary!AN$1,'RA4-Tracks_Roads'!$A$9:$BN$9,1),FALSE),0)+IFERROR(VLOOKUP($B25,'RA5-ROM'!$A$11:$BN$18,MATCH(Summary!AN$1,'RA5-ROM'!$A$9:$BN$9,1),FALSE),0)+IFERROR(VLOOKUP($B25,'RA6-CHPP'!$A$11:$BN$18,MATCH(Summary!AN$1,'RA6-CHPP'!$A$9:$BN$9,1),FALSE),0)+IFERROR(VLOOKUP($B25,'RA7-Mine Infrastructure Area'!$A$11:$BN$18,MATCH(Summary!AN$1,'RA7-Mine Infrastructure Area'!$A$9:$BN$9,1),FALSE),0)+IFERROR(VLOOKUP($B25,'RA8-Water Management Structures'!$A$11:$BN$18,MATCH(Summary!AN$1,'RA8-Water Management Structures'!$A$9:$BN$9,1),FALSE),0)+IFERROR(VLOOKUP($B25,'RA9-Codisposal Upper'!$A$11:$BN$18,MATCH(Summary!AN$1,'RA9-Codisposal Upper'!$A$9:$BN$9,1),FALSE),0)+IFERROR(VLOOKUP($B25,'RA10-Codisposal Slopes'!$A$11:$BN$18,MATCH(Summary!AN$1,'RA10-Codisposal Slopes'!$A$9:$BN$9,1),FALSE),0)+IFERROR(VLOOKUP($B25,'IA1-Final Void inc Ramps'!$A$11:$BN$18,MATCH(Summary!AN$1,'IA1-Final Void inc Ramps'!$A$9:$BN$9,1),FALSE),0)</f>
        <v>171.6</v>
      </c>
      <c r="AO25" s="51">
        <f>IFERROR(VLOOKUP($B25,'RA1- Elevated Dumps Upper'!$A$11:$BN$18,MATCH(Summary!AO$1,'RA1- Elevated Dumps Upper'!$A$9:$BN$9,1),FALSE),0)+IFERROR(VLOOKUP($B25,'RA2-Elevated Dumps Slopes'!$A$11:$BN$18,MATCH(Summary!AO$1,'RA2-Elevated Dumps Slopes'!$A$9:$BN$9,1),FALSE),0)+IFERROR(VLOOKUP($B25,'RA3-Backfilled Pits'!$A$11:$BN$18,MATCH(Summary!AO$1,'RA3-Backfilled Pits'!$A$9:$BN$9,1),FALSE),0)+IFERROR(VLOOKUP($B25,'RA4-Tracks_Roads'!$A$11:$BN$18,MATCH(Summary!AO$1,'RA4-Tracks_Roads'!$A$9:$BN$9,1),FALSE),0)+IFERROR(VLOOKUP($B25,'RA5-ROM'!$A$11:$BN$18,MATCH(Summary!AO$1,'RA5-ROM'!$A$9:$BN$9,1),FALSE),0)+IFERROR(VLOOKUP($B25,'RA6-CHPP'!$A$11:$BN$18,MATCH(Summary!AO$1,'RA6-CHPP'!$A$9:$BN$9,1),FALSE),0)+IFERROR(VLOOKUP($B25,'RA7-Mine Infrastructure Area'!$A$11:$BN$18,MATCH(Summary!AO$1,'RA7-Mine Infrastructure Area'!$A$9:$BN$9,1),FALSE),0)+IFERROR(VLOOKUP($B25,'RA8-Water Management Structures'!$A$11:$BN$18,MATCH(Summary!AO$1,'RA8-Water Management Structures'!$A$9:$BN$9,1),FALSE),0)+IFERROR(VLOOKUP($B25,'RA9-Codisposal Upper'!$A$11:$BN$18,MATCH(Summary!AO$1,'RA9-Codisposal Upper'!$A$9:$BN$9,1),FALSE),0)+IFERROR(VLOOKUP($B25,'RA10-Codisposal Slopes'!$A$11:$BN$18,MATCH(Summary!AO$1,'RA10-Codisposal Slopes'!$A$9:$BN$9,1),FALSE),0)+IFERROR(VLOOKUP($B25,'IA1-Final Void inc Ramps'!$A$11:$BN$18,MATCH(Summary!AO$1,'IA1-Final Void inc Ramps'!$A$9:$BN$9,1),FALSE),0)</f>
        <v>171.6</v>
      </c>
      <c r="AP25" s="51">
        <f>IFERROR(VLOOKUP($B25,'RA1- Elevated Dumps Upper'!$A$11:$BN$18,MATCH(Summary!AP$1,'RA1- Elevated Dumps Upper'!$A$9:$BN$9,1),FALSE),0)+IFERROR(VLOOKUP($B25,'RA2-Elevated Dumps Slopes'!$A$11:$BN$18,MATCH(Summary!AP$1,'RA2-Elevated Dumps Slopes'!$A$9:$BN$9,1),FALSE),0)+IFERROR(VLOOKUP($B25,'RA3-Backfilled Pits'!$A$11:$BN$18,MATCH(Summary!AP$1,'RA3-Backfilled Pits'!$A$9:$BN$9,1),FALSE),0)+IFERROR(VLOOKUP($B25,'RA4-Tracks_Roads'!$A$11:$BN$18,MATCH(Summary!AP$1,'RA4-Tracks_Roads'!$A$9:$BN$9,1),FALSE),0)+IFERROR(VLOOKUP($B25,'RA5-ROM'!$A$11:$BN$18,MATCH(Summary!AP$1,'RA5-ROM'!$A$9:$BN$9,1),FALSE),0)+IFERROR(VLOOKUP($B25,'RA6-CHPP'!$A$11:$BN$18,MATCH(Summary!AP$1,'RA6-CHPP'!$A$9:$BN$9,1),FALSE),0)+IFERROR(VLOOKUP($B25,'RA7-Mine Infrastructure Area'!$A$11:$BN$18,MATCH(Summary!AP$1,'RA7-Mine Infrastructure Area'!$A$9:$BN$9,1),FALSE),0)+IFERROR(VLOOKUP($B25,'RA8-Water Management Structures'!$A$11:$BN$18,MATCH(Summary!AP$1,'RA8-Water Management Structures'!$A$9:$BN$9,1),FALSE),0)+IFERROR(VLOOKUP($B25,'RA9-Codisposal Upper'!$A$11:$BN$18,MATCH(Summary!AP$1,'RA9-Codisposal Upper'!$A$9:$BN$9,1),FALSE),0)+IFERROR(VLOOKUP($B25,'RA10-Codisposal Slopes'!$A$11:$BN$18,MATCH(Summary!AP$1,'RA10-Codisposal Slopes'!$A$9:$BN$9,1),FALSE),0)+IFERROR(VLOOKUP($B25,'IA1-Final Void inc Ramps'!$A$11:$BN$18,MATCH(Summary!AP$1,'IA1-Final Void inc Ramps'!$A$9:$BN$9,1),FALSE),0)</f>
        <v>171.6</v>
      </c>
      <c r="AQ25" s="51">
        <f>IFERROR(VLOOKUP($B25,'RA1- Elevated Dumps Upper'!$A$11:$BN$18,MATCH(Summary!AQ$1,'RA1- Elevated Dumps Upper'!$A$9:$BN$9,1),FALSE),0)+IFERROR(VLOOKUP($B25,'RA2-Elevated Dumps Slopes'!$A$11:$BN$18,MATCH(Summary!AQ$1,'RA2-Elevated Dumps Slopes'!$A$9:$BN$9,1),FALSE),0)+IFERROR(VLOOKUP($B25,'RA3-Backfilled Pits'!$A$11:$BN$18,MATCH(Summary!AQ$1,'RA3-Backfilled Pits'!$A$9:$BN$9,1),FALSE),0)+IFERROR(VLOOKUP($B25,'RA4-Tracks_Roads'!$A$11:$BN$18,MATCH(Summary!AQ$1,'RA4-Tracks_Roads'!$A$9:$BN$9,1),FALSE),0)+IFERROR(VLOOKUP($B25,'RA5-ROM'!$A$11:$BN$18,MATCH(Summary!AQ$1,'RA5-ROM'!$A$9:$BN$9,1),FALSE),0)+IFERROR(VLOOKUP($B25,'RA6-CHPP'!$A$11:$BN$18,MATCH(Summary!AQ$1,'RA6-CHPP'!$A$9:$BN$9,1),FALSE),0)+IFERROR(VLOOKUP($B25,'RA7-Mine Infrastructure Area'!$A$11:$BN$18,MATCH(Summary!AQ$1,'RA7-Mine Infrastructure Area'!$A$9:$BN$9,1),FALSE),0)+IFERROR(VLOOKUP($B25,'RA8-Water Management Structures'!$A$11:$BN$18,MATCH(Summary!AQ$1,'RA8-Water Management Structures'!$A$9:$BN$9,1),FALSE),0)+IFERROR(VLOOKUP($B25,'RA9-Codisposal Upper'!$A$11:$BN$18,MATCH(Summary!AQ$1,'RA9-Codisposal Upper'!$A$9:$BN$9,1),FALSE),0)+IFERROR(VLOOKUP($B25,'RA10-Codisposal Slopes'!$A$11:$BN$18,MATCH(Summary!AQ$1,'RA10-Codisposal Slopes'!$A$9:$BN$9,1),FALSE),0)+IFERROR(VLOOKUP($B25,'IA1-Final Void inc Ramps'!$A$11:$BN$18,MATCH(Summary!AQ$1,'IA1-Final Void inc Ramps'!$A$9:$BN$9,1),FALSE),0)</f>
        <v>171.6</v>
      </c>
      <c r="AR25" s="51">
        <f>IFERROR(VLOOKUP($B25,'RA1- Elevated Dumps Upper'!$A$11:$BN$18,MATCH(Summary!AR$1,'RA1- Elevated Dumps Upper'!$A$9:$BN$9,1),FALSE),0)+IFERROR(VLOOKUP($B25,'RA2-Elevated Dumps Slopes'!$A$11:$BN$18,MATCH(Summary!AR$1,'RA2-Elevated Dumps Slopes'!$A$9:$BN$9,1),FALSE),0)+IFERROR(VLOOKUP($B25,'RA3-Backfilled Pits'!$A$11:$BN$18,MATCH(Summary!AR$1,'RA3-Backfilled Pits'!$A$9:$BN$9,1),FALSE),0)+IFERROR(VLOOKUP($B25,'RA4-Tracks_Roads'!$A$11:$BN$18,MATCH(Summary!AR$1,'RA4-Tracks_Roads'!$A$9:$BN$9,1),FALSE),0)+IFERROR(VLOOKUP($B25,'RA5-ROM'!$A$11:$BN$18,MATCH(Summary!AR$1,'RA5-ROM'!$A$9:$BN$9,1),FALSE),0)+IFERROR(VLOOKUP($B25,'RA6-CHPP'!$A$11:$BN$18,MATCH(Summary!AR$1,'RA6-CHPP'!$A$9:$BN$9,1),FALSE),0)+IFERROR(VLOOKUP($B25,'RA7-Mine Infrastructure Area'!$A$11:$BN$18,MATCH(Summary!AR$1,'RA7-Mine Infrastructure Area'!$A$9:$BN$9,1),FALSE),0)+IFERROR(VLOOKUP($B25,'RA8-Water Management Structures'!$A$11:$BN$18,MATCH(Summary!AR$1,'RA8-Water Management Structures'!$A$9:$BN$9,1),FALSE),0)+IFERROR(VLOOKUP($B25,'RA9-Codisposal Upper'!$A$11:$BN$18,MATCH(Summary!AR$1,'RA9-Codisposal Upper'!$A$9:$BN$9,1),FALSE),0)+IFERROR(VLOOKUP($B25,'RA10-Codisposal Slopes'!$A$11:$BN$18,MATCH(Summary!AR$1,'RA10-Codisposal Slopes'!$A$9:$BN$9,1),FALSE),0)+IFERROR(VLOOKUP($B25,'IA1-Final Void inc Ramps'!$A$11:$BN$18,MATCH(Summary!AR$1,'IA1-Final Void inc Ramps'!$A$9:$BN$9,1),FALSE),0)</f>
        <v>171.6</v>
      </c>
      <c r="AS25" s="51">
        <f>IFERROR(VLOOKUP($B25,'RA1- Elevated Dumps Upper'!$A$11:$BN$18,MATCH(Summary!AS$1,'RA1- Elevated Dumps Upper'!$A$9:$BN$9,1),FALSE),0)+IFERROR(VLOOKUP($B25,'RA2-Elevated Dumps Slopes'!$A$11:$BN$18,MATCH(Summary!AS$1,'RA2-Elevated Dumps Slopes'!$A$9:$BN$9,1),FALSE),0)+IFERROR(VLOOKUP($B25,'RA3-Backfilled Pits'!$A$11:$BN$18,MATCH(Summary!AS$1,'RA3-Backfilled Pits'!$A$9:$BN$9,1),FALSE),0)+IFERROR(VLOOKUP($B25,'RA4-Tracks_Roads'!$A$11:$BN$18,MATCH(Summary!AS$1,'RA4-Tracks_Roads'!$A$9:$BN$9,1),FALSE),0)+IFERROR(VLOOKUP($B25,'RA5-ROM'!$A$11:$BN$18,MATCH(Summary!AS$1,'RA5-ROM'!$A$9:$BN$9,1),FALSE),0)+IFERROR(VLOOKUP($B25,'RA6-CHPP'!$A$11:$BN$18,MATCH(Summary!AS$1,'RA6-CHPP'!$A$9:$BN$9,1),FALSE),0)+IFERROR(VLOOKUP($B25,'RA7-Mine Infrastructure Area'!$A$11:$BN$18,MATCH(Summary!AS$1,'RA7-Mine Infrastructure Area'!$A$9:$BN$9,1),FALSE),0)+IFERROR(VLOOKUP($B25,'RA8-Water Management Structures'!$A$11:$BN$18,MATCH(Summary!AS$1,'RA8-Water Management Structures'!$A$9:$BN$9,1),FALSE),0)+IFERROR(VLOOKUP($B25,'RA9-Codisposal Upper'!$A$11:$BN$18,MATCH(Summary!AS$1,'RA9-Codisposal Upper'!$A$9:$BN$9,1),FALSE),0)+IFERROR(VLOOKUP($B25,'RA10-Codisposal Slopes'!$A$11:$BN$18,MATCH(Summary!AS$1,'RA10-Codisposal Slopes'!$A$9:$BN$9,1),FALSE),0)+IFERROR(VLOOKUP($B25,'IA1-Final Void inc Ramps'!$A$11:$BN$18,MATCH(Summary!AS$1,'IA1-Final Void inc Ramps'!$A$9:$BN$9,1),FALSE),0)</f>
        <v>171.6</v>
      </c>
      <c r="AT25" s="51">
        <f>IFERROR(VLOOKUP($B25,'RA1- Elevated Dumps Upper'!$A$11:$BN$18,MATCH(Summary!AT$1,'RA1- Elevated Dumps Upper'!$A$9:$BN$9,1),FALSE),0)+IFERROR(VLOOKUP($B25,'RA2-Elevated Dumps Slopes'!$A$11:$BN$18,MATCH(Summary!AT$1,'RA2-Elevated Dumps Slopes'!$A$9:$BN$9,1),FALSE),0)+IFERROR(VLOOKUP($B25,'RA3-Backfilled Pits'!$A$11:$BN$18,MATCH(Summary!AT$1,'RA3-Backfilled Pits'!$A$9:$BN$9,1),FALSE),0)+IFERROR(VLOOKUP($B25,'RA4-Tracks_Roads'!$A$11:$BN$18,MATCH(Summary!AT$1,'RA4-Tracks_Roads'!$A$9:$BN$9,1),FALSE),0)+IFERROR(VLOOKUP($B25,'RA5-ROM'!$A$11:$BN$18,MATCH(Summary!AT$1,'RA5-ROM'!$A$9:$BN$9,1),FALSE),0)+IFERROR(VLOOKUP($B25,'RA6-CHPP'!$A$11:$BN$18,MATCH(Summary!AT$1,'RA6-CHPP'!$A$9:$BN$9,1),FALSE),0)+IFERROR(VLOOKUP($B25,'RA7-Mine Infrastructure Area'!$A$11:$BN$18,MATCH(Summary!AT$1,'RA7-Mine Infrastructure Area'!$A$9:$BN$9,1),FALSE),0)+IFERROR(VLOOKUP($B25,'RA8-Water Management Structures'!$A$11:$BN$18,MATCH(Summary!AT$1,'RA8-Water Management Structures'!$A$9:$BN$9,1),FALSE),0)+IFERROR(VLOOKUP($B25,'RA9-Codisposal Upper'!$A$11:$BN$18,MATCH(Summary!AT$1,'RA9-Codisposal Upper'!$A$9:$BN$9,1),FALSE),0)+IFERROR(VLOOKUP($B25,'RA10-Codisposal Slopes'!$A$11:$BN$18,MATCH(Summary!AT$1,'RA10-Codisposal Slopes'!$A$9:$BN$9,1),FALSE),0)+IFERROR(VLOOKUP($B25,'IA1-Final Void inc Ramps'!$A$11:$BN$18,MATCH(Summary!AT$1,'IA1-Final Void inc Ramps'!$A$9:$BN$9,1),FALSE),0)</f>
        <v>171.6</v>
      </c>
      <c r="AU25" s="51">
        <f>IFERROR(VLOOKUP($B25,'RA1- Elevated Dumps Upper'!$A$11:$BN$18,MATCH(Summary!AU$1,'RA1- Elevated Dumps Upper'!$A$9:$BN$9,1),FALSE),0)+IFERROR(VLOOKUP($B25,'RA2-Elevated Dumps Slopes'!$A$11:$BN$18,MATCH(Summary!AU$1,'RA2-Elevated Dumps Slopes'!$A$9:$BN$9,1),FALSE),0)+IFERROR(VLOOKUP($B25,'RA3-Backfilled Pits'!$A$11:$BN$18,MATCH(Summary!AU$1,'RA3-Backfilled Pits'!$A$9:$BN$9,1),FALSE),0)+IFERROR(VLOOKUP($B25,'RA4-Tracks_Roads'!$A$11:$BN$18,MATCH(Summary!AU$1,'RA4-Tracks_Roads'!$A$9:$BN$9,1),FALSE),0)+IFERROR(VLOOKUP($B25,'RA5-ROM'!$A$11:$BN$18,MATCH(Summary!AU$1,'RA5-ROM'!$A$9:$BN$9,1),FALSE),0)+IFERROR(VLOOKUP($B25,'RA6-CHPP'!$A$11:$BN$18,MATCH(Summary!AU$1,'RA6-CHPP'!$A$9:$BN$9,1),FALSE),0)+IFERROR(VLOOKUP($B25,'RA7-Mine Infrastructure Area'!$A$11:$BN$18,MATCH(Summary!AU$1,'RA7-Mine Infrastructure Area'!$A$9:$BN$9,1),FALSE),0)+IFERROR(VLOOKUP($B25,'RA8-Water Management Structures'!$A$11:$BN$18,MATCH(Summary!AU$1,'RA8-Water Management Structures'!$A$9:$BN$9,1),FALSE),0)+IFERROR(VLOOKUP($B25,'RA9-Codisposal Upper'!$A$11:$BN$18,MATCH(Summary!AU$1,'RA9-Codisposal Upper'!$A$9:$BN$9,1),FALSE),0)+IFERROR(VLOOKUP($B25,'RA10-Codisposal Slopes'!$A$11:$BN$18,MATCH(Summary!AU$1,'RA10-Codisposal Slopes'!$A$9:$BN$9,1),FALSE),0)+IFERROR(VLOOKUP($B25,'IA1-Final Void inc Ramps'!$A$11:$BN$18,MATCH(Summary!AU$1,'IA1-Final Void inc Ramps'!$A$9:$BN$9,1),FALSE),0)</f>
        <v>171.6</v>
      </c>
      <c r="AV25" s="51">
        <f>IFERROR(VLOOKUP($B25,'RA1- Elevated Dumps Upper'!$A$11:$BN$18,MATCH(Summary!AV$1,'RA1- Elevated Dumps Upper'!$A$9:$BN$9,1),FALSE),0)+IFERROR(VLOOKUP($B25,'RA2-Elevated Dumps Slopes'!$A$11:$BN$18,MATCH(Summary!AV$1,'RA2-Elevated Dumps Slopes'!$A$9:$BN$9,1),FALSE),0)+IFERROR(VLOOKUP($B25,'RA3-Backfilled Pits'!$A$11:$BN$18,MATCH(Summary!AV$1,'RA3-Backfilled Pits'!$A$9:$BN$9,1),FALSE),0)+IFERROR(VLOOKUP($B25,'RA4-Tracks_Roads'!$A$11:$BN$18,MATCH(Summary!AV$1,'RA4-Tracks_Roads'!$A$9:$BN$9,1),FALSE),0)+IFERROR(VLOOKUP($B25,'RA5-ROM'!$A$11:$BN$18,MATCH(Summary!AV$1,'RA5-ROM'!$A$9:$BN$9,1),FALSE),0)+IFERROR(VLOOKUP($B25,'RA6-CHPP'!$A$11:$BN$18,MATCH(Summary!AV$1,'RA6-CHPP'!$A$9:$BN$9,1),FALSE),0)+IFERROR(VLOOKUP($B25,'RA7-Mine Infrastructure Area'!$A$11:$BN$18,MATCH(Summary!AV$1,'RA7-Mine Infrastructure Area'!$A$9:$BN$9,1),FALSE),0)+IFERROR(VLOOKUP($B25,'RA8-Water Management Structures'!$A$11:$BN$18,MATCH(Summary!AV$1,'RA8-Water Management Structures'!$A$9:$BN$9,1),FALSE),0)+IFERROR(VLOOKUP($B25,'RA9-Codisposal Upper'!$A$11:$BN$18,MATCH(Summary!AV$1,'RA9-Codisposal Upper'!$A$9:$BN$9,1),FALSE),0)+IFERROR(VLOOKUP($B25,'RA10-Codisposal Slopes'!$A$11:$BN$18,MATCH(Summary!AV$1,'RA10-Codisposal Slopes'!$A$9:$BN$9,1),FALSE),0)+IFERROR(VLOOKUP($B25,'IA1-Final Void inc Ramps'!$A$11:$BN$18,MATCH(Summary!AV$1,'IA1-Final Void inc Ramps'!$A$9:$BN$9,1),FALSE),0)</f>
        <v>171.6</v>
      </c>
      <c r="AW25" s="51">
        <f>IFERROR(VLOOKUP($B25,'RA1- Elevated Dumps Upper'!$A$11:$BN$18,MATCH(Summary!AW$1,'RA1- Elevated Dumps Upper'!$A$9:$BN$9,1),FALSE),0)+IFERROR(VLOOKUP($B25,'RA2-Elevated Dumps Slopes'!$A$11:$BN$18,MATCH(Summary!AW$1,'RA2-Elevated Dumps Slopes'!$A$9:$BN$9,1),FALSE),0)+IFERROR(VLOOKUP($B25,'RA3-Backfilled Pits'!$A$11:$BN$18,MATCH(Summary!AW$1,'RA3-Backfilled Pits'!$A$9:$BN$9,1),FALSE),0)+IFERROR(VLOOKUP($B25,'RA4-Tracks_Roads'!$A$11:$BN$18,MATCH(Summary!AW$1,'RA4-Tracks_Roads'!$A$9:$BN$9,1),FALSE),0)+IFERROR(VLOOKUP($B25,'RA5-ROM'!$A$11:$BN$18,MATCH(Summary!AW$1,'RA5-ROM'!$A$9:$BN$9,1),FALSE),0)+IFERROR(VLOOKUP($B25,'RA6-CHPP'!$A$11:$BN$18,MATCH(Summary!AW$1,'RA6-CHPP'!$A$9:$BN$9,1),FALSE),0)+IFERROR(VLOOKUP($B25,'RA7-Mine Infrastructure Area'!$A$11:$BN$18,MATCH(Summary!AW$1,'RA7-Mine Infrastructure Area'!$A$9:$BN$9,1),FALSE),0)+IFERROR(VLOOKUP($B25,'RA8-Water Management Structures'!$A$11:$BN$18,MATCH(Summary!AW$1,'RA8-Water Management Structures'!$A$9:$BN$9,1),FALSE),0)+IFERROR(VLOOKUP($B25,'RA9-Codisposal Upper'!$A$11:$BN$18,MATCH(Summary!AW$1,'RA9-Codisposal Upper'!$A$9:$BN$9,1),FALSE),0)+IFERROR(VLOOKUP($B25,'RA10-Codisposal Slopes'!$A$11:$BN$18,MATCH(Summary!AW$1,'RA10-Codisposal Slopes'!$A$9:$BN$9,1),FALSE),0)+IFERROR(VLOOKUP($B25,'IA1-Final Void inc Ramps'!$A$11:$BN$18,MATCH(Summary!AW$1,'IA1-Final Void inc Ramps'!$A$9:$BN$9,1),FALSE),0)</f>
        <v>171.6</v>
      </c>
      <c r="AX25" s="51">
        <f>IFERROR(VLOOKUP($B25,'RA1- Elevated Dumps Upper'!$A$11:$BN$18,MATCH(Summary!AX$1,'RA1- Elevated Dumps Upper'!$A$9:$BN$9,1),FALSE),0)+IFERROR(VLOOKUP($B25,'RA2-Elevated Dumps Slopes'!$A$11:$BN$18,MATCH(Summary!AX$1,'RA2-Elevated Dumps Slopes'!$A$9:$BN$9,1),FALSE),0)+IFERROR(VLOOKUP($B25,'RA3-Backfilled Pits'!$A$11:$BN$18,MATCH(Summary!AX$1,'RA3-Backfilled Pits'!$A$9:$BN$9,1),FALSE),0)+IFERROR(VLOOKUP($B25,'RA4-Tracks_Roads'!$A$11:$BN$18,MATCH(Summary!AX$1,'RA4-Tracks_Roads'!$A$9:$BN$9,1),FALSE),0)+IFERROR(VLOOKUP($B25,'RA5-ROM'!$A$11:$BN$18,MATCH(Summary!AX$1,'RA5-ROM'!$A$9:$BN$9,1),FALSE),0)+IFERROR(VLOOKUP($B25,'RA6-CHPP'!$A$11:$BN$18,MATCH(Summary!AX$1,'RA6-CHPP'!$A$9:$BN$9,1),FALSE),0)+IFERROR(VLOOKUP($B25,'RA7-Mine Infrastructure Area'!$A$11:$BN$18,MATCH(Summary!AX$1,'RA7-Mine Infrastructure Area'!$A$9:$BN$9,1),FALSE),0)+IFERROR(VLOOKUP($B25,'RA8-Water Management Structures'!$A$11:$BN$18,MATCH(Summary!AX$1,'RA8-Water Management Structures'!$A$9:$BN$9,1),FALSE),0)+IFERROR(VLOOKUP($B25,'RA9-Codisposal Upper'!$A$11:$BN$18,MATCH(Summary!AX$1,'RA9-Codisposal Upper'!$A$9:$BN$9,1),FALSE),0)+IFERROR(VLOOKUP($B25,'RA10-Codisposal Slopes'!$A$11:$BN$18,MATCH(Summary!AX$1,'RA10-Codisposal Slopes'!$A$9:$BN$9,1),FALSE),0)+IFERROR(VLOOKUP($B25,'IA1-Final Void inc Ramps'!$A$11:$BN$18,MATCH(Summary!AX$1,'IA1-Final Void inc Ramps'!$A$9:$BN$9,1),FALSE),0)</f>
        <v>171.6</v>
      </c>
      <c r="AY25" s="51">
        <f>IFERROR(VLOOKUP($B25,'RA1- Elevated Dumps Upper'!$A$11:$BN$18,MATCH(Summary!AY$1,'RA1- Elevated Dumps Upper'!$A$9:$BN$9,1),FALSE),0)+IFERROR(VLOOKUP($B25,'RA2-Elevated Dumps Slopes'!$A$11:$BN$18,MATCH(Summary!AY$1,'RA2-Elevated Dumps Slopes'!$A$9:$BN$9,1),FALSE),0)+IFERROR(VLOOKUP($B25,'RA3-Backfilled Pits'!$A$11:$BN$18,MATCH(Summary!AY$1,'RA3-Backfilled Pits'!$A$9:$BN$9,1),FALSE),0)+IFERROR(VLOOKUP($B25,'RA4-Tracks_Roads'!$A$11:$BN$18,MATCH(Summary!AY$1,'RA4-Tracks_Roads'!$A$9:$BN$9,1),FALSE),0)+IFERROR(VLOOKUP($B25,'RA5-ROM'!$A$11:$BN$18,MATCH(Summary!AY$1,'RA5-ROM'!$A$9:$BN$9,1),FALSE),0)+IFERROR(VLOOKUP($B25,'RA6-CHPP'!$A$11:$BN$18,MATCH(Summary!AY$1,'RA6-CHPP'!$A$9:$BN$9,1),FALSE),0)+IFERROR(VLOOKUP($B25,'RA7-Mine Infrastructure Area'!$A$11:$BN$18,MATCH(Summary!AY$1,'RA7-Mine Infrastructure Area'!$A$9:$BN$9,1),FALSE),0)+IFERROR(VLOOKUP($B25,'RA8-Water Management Structures'!$A$11:$BN$18,MATCH(Summary!AY$1,'RA8-Water Management Structures'!$A$9:$BN$9,1),FALSE),0)+IFERROR(VLOOKUP($B25,'RA9-Codisposal Upper'!$A$11:$BN$18,MATCH(Summary!AY$1,'RA9-Codisposal Upper'!$A$9:$BN$9,1),FALSE),0)+IFERROR(VLOOKUP($B25,'RA10-Codisposal Slopes'!$A$11:$BN$18,MATCH(Summary!AY$1,'RA10-Codisposal Slopes'!$A$9:$BN$9,1),FALSE),0)+IFERROR(VLOOKUP($B25,'IA1-Final Void inc Ramps'!$A$11:$BN$18,MATCH(Summary!AY$1,'IA1-Final Void inc Ramps'!$A$9:$BN$9,1),FALSE),0)</f>
        <v>171.6</v>
      </c>
      <c r="AZ25" s="51">
        <f>IFERROR(VLOOKUP($B25,'RA1- Elevated Dumps Upper'!$A$11:$BN$18,MATCH(Summary!AZ$1,'RA1- Elevated Dumps Upper'!$A$9:$BN$9,1),FALSE),0)+IFERROR(VLOOKUP($B25,'RA2-Elevated Dumps Slopes'!$A$11:$BN$18,MATCH(Summary!AZ$1,'RA2-Elevated Dumps Slopes'!$A$9:$BN$9,1),FALSE),0)+IFERROR(VLOOKUP($B25,'RA3-Backfilled Pits'!$A$11:$BN$18,MATCH(Summary!AZ$1,'RA3-Backfilled Pits'!$A$9:$BN$9,1),FALSE),0)+IFERROR(VLOOKUP($B25,'RA4-Tracks_Roads'!$A$11:$BN$18,MATCH(Summary!AZ$1,'RA4-Tracks_Roads'!$A$9:$BN$9,1),FALSE),0)+IFERROR(VLOOKUP($B25,'RA5-ROM'!$A$11:$BN$18,MATCH(Summary!AZ$1,'RA5-ROM'!$A$9:$BN$9,1),FALSE),0)+IFERROR(VLOOKUP($B25,'RA6-CHPP'!$A$11:$BN$18,MATCH(Summary!AZ$1,'RA6-CHPP'!$A$9:$BN$9,1),FALSE),0)+IFERROR(VLOOKUP($B25,'RA7-Mine Infrastructure Area'!$A$11:$BN$18,MATCH(Summary!AZ$1,'RA7-Mine Infrastructure Area'!$A$9:$BN$9,1),FALSE),0)+IFERROR(VLOOKUP($B25,'RA8-Water Management Structures'!$A$11:$BN$18,MATCH(Summary!AZ$1,'RA8-Water Management Structures'!$A$9:$BN$9,1),FALSE),0)+IFERROR(VLOOKUP($B25,'RA9-Codisposal Upper'!$A$11:$BN$18,MATCH(Summary!AZ$1,'RA9-Codisposal Upper'!$A$9:$BN$9,1),FALSE),0)+IFERROR(VLOOKUP($B25,'RA10-Codisposal Slopes'!$A$11:$BN$18,MATCH(Summary!AZ$1,'RA10-Codisposal Slopes'!$A$9:$BN$9,1),FALSE),0)+IFERROR(VLOOKUP($B25,'IA1-Final Void inc Ramps'!$A$11:$BN$18,MATCH(Summary!AZ$1,'IA1-Final Void inc Ramps'!$A$9:$BN$9,1),FALSE),0)</f>
        <v>171.6</v>
      </c>
      <c r="BA25" s="51">
        <f>IFERROR(VLOOKUP($B25,'RA1- Elevated Dumps Upper'!$A$11:$BN$18,MATCH(Summary!BA$1,'RA1- Elevated Dumps Upper'!$A$9:$BN$9,1),FALSE),0)+IFERROR(VLOOKUP($B25,'RA2-Elevated Dumps Slopes'!$A$11:$BN$18,MATCH(Summary!BA$1,'RA2-Elevated Dumps Slopes'!$A$9:$BN$9,1),FALSE),0)+IFERROR(VLOOKUP($B25,'RA3-Backfilled Pits'!$A$11:$BN$18,MATCH(Summary!BA$1,'RA3-Backfilled Pits'!$A$9:$BN$9,1),FALSE),0)+IFERROR(VLOOKUP($B25,'RA4-Tracks_Roads'!$A$11:$BN$18,MATCH(Summary!BA$1,'RA4-Tracks_Roads'!$A$9:$BN$9,1),FALSE),0)+IFERROR(VLOOKUP($B25,'RA5-ROM'!$A$11:$BN$18,MATCH(Summary!BA$1,'RA5-ROM'!$A$9:$BN$9,1),FALSE),0)+IFERROR(VLOOKUP($B25,'RA6-CHPP'!$A$11:$BN$18,MATCH(Summary!BA$1,'RA6-CHPP'!$A$9:$BN$9,1),FALSE),0)+IFERROR(VLOOKUP($B25,'RA7-Mine Infrastructure Area'!$A$11:$BN$18,MATCH(Summary!BA$1,'RA7-Mine Infrastructure Area'!$A$9:$BN$9,1),FALSE),0)+IFERROR(VLOOKUP($B25,'RA8-Water Management Structures'!$A$11:$BN$18,MATCH(Summary!BA$1,'RA8-Water Management Structures'!$A$9:$BN$9,1),FALSE),0)+IFERROR(VLOOKUP($B25,'RA9-Codisposal Upper'!$A$11:$BN$18,MATCH(Summary!BA$1,'RA9-Codisposal Upper'!$A$9:$BN$9,1),FALSE),0)+IFERROR(VLOOKUP($B25,'RA10-Codisposal Slopes'!$A$11:$BN$18,MATCH(Summary!BA$1,'RA10-Codisposal Slopes'!$A$9:$BN$9,1),FALSE),0)+IFERROR(VLOOKUP($B25,'IA1-Final Void inc Ramps'!$A$11:$BN$18,MATCH(Summary!BA$1,'IA1-Final Void inc Ramps'!$A$9:$BN$9,1),FALSE),0)</f>
        <v>171.6</v>
      </c>
      <c r="BB25" s="51">
        <f>IFERROR(VLOOKUP($B25,'RA1- Elevated Dumps Upper'!$A$11:$BN$18,MATCH(Summary!BB$1,'RA1- Elevated Dumps Upper'!$A$9:$BN$9,1),FALSE),0)+IFERROR(VLOOKUP($B25,'RA2-Elevated Dumps Slopes'!$A$11:$BN$18,MATCH(Summary!BB$1,'RA2-Elevated Dumps Slopes'!$A$9:$BN$9,1),FALSE),0)+IFERROR(VLOOKUP($B25,'RA3-Backfilled Pits'!$A$11:$BN$18,MATCH(Summary!BB$1,'RA3-Backfilled Pits'!$A$9:$BN$9,1),FALSE),0)+IFERROR(VLOOKUP($B25,'RA4-Tracks_Roads'!$A$11:$BN$18,MATCH(Summary!BB$1,'RA4-Tracks_Roads'!$A$9:$BN$9,1),FALSE),0)+IFERROR(VLOOKUP($B25,'RA5-ROM'!$A$11:$BN$18,MATCH(Summary!BB$1,'RA5-ROM'!$A$9:$BN$9,1),FALSE),0)+IFERROR(VLOOKUP($B25,'RA6-CHPP'!$A$11:$BN$18,MATCH(Summary!BB$1,'RA6-CHPP'!$A$9:$BN$9,1),FALSE),0)+IFERROR(VLOOKUP($B25,'RA7-Mine Infrastructure Area'!$A$11:$BN$18,MATCH(Summary!BB$1,'RA7-Mine Infrastructure Area'!$A$9:$BN$9,1),FALSE),0)+IFERROR(VLOOKUP($B25,'RA8-Water Management Structures'!$A$11:$BN$18,MATCH(Summary!BB$1,'RA8-Water Management Structures'!$A$9:$BN$9,1),FALSE),0)+IFERROR(VLOOKUP($B25,'RA9-Codisposal Upper'!$A$11:$BN$18,MATCH(Summary!BB$1,'RA9-Codisposal Upper'!$A$9:$BN$9,1),FALSE),0)+IFERROR(VLOOKUP($B25,'RA10-Codisposal Slopes'!$A$11:$BN$18,MATCH(Summary!BB$1,'RA10-Codisposal Slopes'!$A$9:$BN$9,1),FALSE),0)+IFERROR(VLOOKUP($B25,'IA1-Final Void inc Ramps'!$A$11:$BN$18,MATCH(Summary!BB$1,'IA1-Final Void inc Ramps'!$A$9:$BN$9,1),FALSE),0)</f>
        <v>171.6</v>
      </c>
      <c r="BC25" s="51">
        <f>IFERROR(VLOOKUP($B25,'RA1- Elevated Dumps Upper'!$A$11:$BN$18,MATCH(Summary!BC$1,'RA1- Elevated Dumps Upper'!$A$9:$BN$9,1),FALSE),0)+IFERROR(VLOOKUP($B25,'RA2-Elevated Dumps Slopes'!$A$11:$BN$18,MATCH(Summary!BC$1,'RA2-Elevated Dumps Slopes'!$A$9:$BN$9,1),FALSE),0)+IFERROR(VLOOKUP($B25,'RA3-Backfilled Pits'!$A$11:$BN$18,MATCH(Summary!BC$1,'RA3-Backfilled Pits'!$A$9:$BN$9,1),FALSE),0)+IFERROR(VLOOKUP($B25,'RA4-Tracks_Roads'!$A$11:$BN$18,MATCH(Summary!BC$1,'RA4-Tracks_Roads'!$A$9:$BN$9,1),FALSE),0)+IFERROR(VLOOKUP($B25,'RA5-ROM'!$A$11:$BN$18,MATCH(Summary!BC$1,'RA5-ROM'!$A$9:$BN$9,1),FALSE),0)+IFERROR(VLOOKUP($B25,'RA6-CHPP'!$A$11:$BN$18,MATCH(Summary!BC$1,'RA6-CHPP'!$A$9:$BN$9,1),FALSE),0)+IFERROR(VLOOKUP($B25,'RA7-Mine Infrastructure Area'!$A$11:$BN$18,MATCH(Summary!BC$1,'RA7-Mine Infrastructure Area'!$A$9:$BN$9,1),FALSE),0)+IFERROR(VLOOKUP($B25,'RA8-Water Management Structures'!$A$11:$BN$18,MATCH(Summary!BC$1,'RA8-Water Management Structures'!$A$9:$BN$9,1),FALSE),0)+IFERROR(VLOOKUP($B25,'RA9-Codisposal Upper'!$A$11:$BN$18,MATCH(Summary!BC$1,'RA9-Codisposal Upper'!$A$9:$BN$9,1),FALSE),0)+IFERROR(VLOOKUP($B25,'RA10-Codisposal Slopes'!$A$11:$BN$18,MATCH(Summary!BC$1,'RA10-Codisposal Slopes'!$A$9:$BN$9,1),FALSE),0)+IFERROR(VLOOKUP($B25,'IA1-Final Void inc Ramps'!$A$11:$BN$18,MATCH(Summary!BC$1,'IA1-Final Void inc Ramps'!$A$9:$BN$9,1),FALSE),0)</f>
        <v>171.6</v>
      </c>
      <c r="BD25" s="51">
        <f>IFERROR(VLOOKUP($B25,'RA1- Elevated Dumps Upper'!$A$11:$BN$18,MATCH(Summary!BD$1,'RA1- Elevated Dumps Upper'!$A$9:$BN$9,1),FALSE),0)+IFERROR(VLOOKUP($B25,'RA2-Elevated Dumps Slopes'!$A$11:$BN$18,MATCH(Summary!BD$1,'RA2-Elevated Dumps Slopes'!$A$9:$BN$9,1),FALSE),0)+IFERROR(VLOOKUP($B25,'RA3-Backfilled Pits'!$A$11:$BN$18,MATCH(Summary!BD$1,'RA3-Backfilled Pits'!$A$9:$BN$9,1),FALSE),0)+IFERROR(VLOOKUP($B25,'RA4-Tracks_Roads'!$A$11:$BN$18,MATCH(Summary!BD$1,'RA4-Tracks_Roads'!$A$9:$BN$9,1),FALSE),0)+IFERROR(VLOOKUP($B25,'RA5-ROM'!$A$11:$BN$18,MATCH(Summary!BD$1,'RA5-ROM'!$A$9:$BN$9,1),FALSE),0)+IFERROR(VLOOKUP($B25,'RA6-CHPP'!$A$11:$BN$18,MATCH(Summary!BD$1,'RA6-CHPP'!$A$9:$BN$9,1),FALSE),0)+IFERROR(VLOOKUP($B25,'RA7-Mine Infrastructure Area'!$A$11:$BN$18,MATCH(Summary!BD$1,'RA7-Mine Infrastructure Area'!$A$9:$BN$9,1),FALSE),0)+IFERROR(VLOOKUP($B25,'RA8-Water Management Structures'!$A$11:$BN$18,MATCH(Summary!BD$1,'RA8-Water Management Structures'!$A$9:$BN$9,1),FALSE),0)+IFERROR(VLOOKUP($B25,'RA9-Codisposal Upper'!$A$11:$BN$18,MATCH(Summary!BD$1,'RA9-Codisposal Upper'!$A$9:$BN$9,1),FALSE),0)+IFERROR(VLOOKUP($B25,'RA10-Codisposal Slopes'!$A$11:$BN$18,MATCH(Summary!BD$1,'RA10-Codisposal Slopes'!$A$9:$BN$9,1),FALSE),0)+IFERROR(VLOOKUP($B25,'IA1-Final Void inc Ramps'!$A$11:$BN$18,MATCH(Summary!BD$1,'IA1-Final Void inc Ramps'!$A$9:$BN$9,1),FALSE),0)</f>
        <v>171.6</v>
      </c>
      <c r="BE25" s="51">
        <f>IFERROR(VLOOKUP($B25,'RA1- Elevated Dumps Upper'!$A$11:$BN$18,MATCH(Summary!BE$1,'RA1- Elevated Dumps Upper'!$A$9:$BN$9,1),FALSE),0)+IFERROR(VLOOKUP($B25,'RA2-Elevated Dumps Slopes'!$A$11:$BN$18,MATCH(Summary!BE$1,'RA2-Elevated Dumps Slopes'!$A$9:$BN$9,1),FALSE),0)+IFERROR(VLOOKUP($B25,'RA3-Backfilled Pits'!$A$11:$BN$18,MATCH(Summary!BE$1,'RA3-Backfilled Pits'!$A$9:$BN$9,1),FALSE),0)+IFERROR(VLOOKUP($B25,'RA4-Tracks_Roads'!$A$11:$BN$18,MATCH(Summary!BE$1,'RA4-Tracks_Roads'!$A$9:$BN$9,1),FALSE),0)+IFERROR(VLOOKUP($B25,'RA5-ROM'!$A$11:$BN$18,MATCH(Summary!BE$1,'RA5-ROM'!$A$9:$BN$9,1),FALSE),0)+IFERROR(VLOOKUP($B25,'RA6-CHPP'!$A$11:$BN$18,MATCH(Summary!BE$1,'RA6-CHPP'!$A$9:$BN$9,1),FALSE),0)+IFERROR(VLOOKUP($B25,'RA7-Mine Infrastructure Area'!$A$11:$BN$18,MATCH(Summary!BE$1,'RA7-Mine Infrastructure Area'!$A$9:$BN$9,1),FALSE),0)+IFERROR(VLOOKUP($B25,'RA8-Water Management Structures'!$A$11:$BN$18,MATCH(Summary!BE$1,'RA8-Water Management Structures'!$A$9:$BN$9,1),FALSE),0)+IFERROR(VLOOKUP($B25,'RA9-Codisposal Upper'!$A$11:$BN$18,MATCH(Summary!BE$1,'RA9-Codisposal Upper'!$A$9:$BN$9,1),FALSE),0)+IFERROR(VLOOKUP($B25,'RA10-Codisposal Slopes'!$A$11:$BN$18,MATCH(Summary!BE$1,'RA10-Codisposal Slopes'!$A$9:$BN$9,1),FALSE),0)+IFERROR(VLOOKUP($B25,'IA1-Final Void inc Ramps'!$A$11:$BN$18,MATCH(Summary!BE$1,'IA1-Final Void inc Ramps'!$A$9:$BN$9,1),FALSE),0)</f>
        <v>171.6</v>
      </c>
      <c r="BF25" s="51">
        <f>IFERROR(VLOOKUP($B25,'RA1- Elevated Dumps Upper'!$A$11:$BN$18,MATCH(Summary!BF$1,'RA1- Elevated Dumps Upper'!$A$9:$BN$9,1),FALSE),0)+IFERROR(VLOOKUP($B25,'RA2-Elevated Dumps Slopes'!$A$11:$BN$18,MATCH(Summary!BF$1,'RA2-Elevated Dumps Slopes'!$A$9:$BN$9,1),FALSE),0)+IFERROR(VLOOKUP($B25,'RA3-Backfilled Pits'!$A$11:$BN$18,MATCH(Summary!BF$1,'RA3-Backfilled Pits'!$A$9:$BN$9,1),FALSE),0)+IFERROR(VLOOKUP($B25,'RA4-Tracks_Roads'!$A$11:$BN$18,MATCH(Summary!BF$1,'RA4-Tracks_Roads'!$A$9:$BN$9,1),FALSE),0)+IFERROR(VLOOKUP($B25,'RA5-ROM'!$A$11:$BN$18,MATCH(Summary!BF$1,'RA5-ROM'!$A$9:$BN$9,1),FALSE),0)+IFERROR(VLOOKUP($B25,'RA6-CHPP'!$A$11:$BN$18,MATCH(Summary!BF$1,'RA6-CHPP'!$A$9:$BN$9,1),FALSE),0)+IFERROR(VLOOKUP($B25,'RA7-Mine Infrastructure Area'!$A$11:$BN$18,MATCH(Summary!BF$1,'RA7-Mine Infrastructure Area'!$A$9:$BN$9,1),FALSE),0)+IFERROR(VLOOKUP($B25,'RA8-Water Management Structures'!$A$11:$BN$18,MATCH(Summary!BF$1,'RA8-Water Management Structures'!$A$9:$BN$9,1),FALSE),0)+IFERROR(VLOOKUP($B25,'RA9-Codisposal Upper'!$A$11:$BN$18,MATCH(Summary!BF$1,'RA9-Codisposal Upper'!$A$9:$BN$9,1),FALSE),0)+IFERROR(VLOOKUP($B25,'RA10-Codisposal Slopes'!$A$11:$BN$18,MATCH(Summary!BF$1,'RA10-Codisposal Slopes'!$A$9:$BN$9,1),FALSE),0)+IFERROR(VLOOKUP($B25,'IA1-Final Void inc Ramps'!$A$11:$BN$18,MATCH(Summary!BF$1,'IA1-Final Void inc Ramps'!$A$9:$BN$9,1),FALSE),0)</f>
        <v>171.6</v>
      </c>
      <c r="BG25" s="51">
        <f>IFERROR(VLOOKUP($B25,'RA1- Elevated Dumps Upper'!$A$11:$BN$18,MATCH(Summary!BG$1,'RA1- Elevated Dumps Upper'!$A$9:$BN$9,1),FALSE),0)+IFERROR(VLOOKUP($B25,'RA2-Elevated Dumps Slopes'!$A$11:$BN$18,MATCH(Summary!BG$1,'RA2-Elevated Dumps Slopes'!$A$9:$BN$9,1),FALSE),0)+IFERROR(VLOOKUP($B25,'RA3-Backfilled Pits'!$A$11:$BN$18,MATCH(Summary!BG$1,'RA3-Backfilled Pits'!$A$9:$BN$9,1),FALSE),0)+IFERROR(VLOOKUP($B25,'RA4-Tracks_Roads'!$A$11:$BN$18,MATCH(Summary!BG$1,'RA4-Tracks_Roads'!$A$9:$BN$9,1),FALSE),0)+IFERROR(VLOOKUP($B25,'RA5-ROM'!$A$11:$BN$18,MATCH(Summary!BG$1,'RA5-ROM'!$A$9:$BN$9,1),FALSE),0)+IFERROR(VLOOKUP($B25,'RA6-CHPP'!$A$11:$BN$18,MATCH(Summary!BG$1,'RA6-CHPP'!$A$9:$BN$9,1),FALSE),0)+IFERROR(VLOOKUP($B25,'RA7-Mine Infrastructure Area'!$A$11:$BN$18,MATCH(Summary!BG$1,'RA7-Mine Infrastructure Area'!$A$9:$BN$9,1),FALSE),0)+IFERROR(VLOOKUP($B25,'RA8-Water Management Structures'!$A$11:$BN$18,MATCH(Summary!BG$1,'RA8-Water Management Structures'!$A$9:$BN$9,1),FALSE),0)+IFERROR(VLOOKUP($B25,'RA9-Codisposal Upper'!$A$11:$BN$18,MATCH(Summary!BG$1,'RA9-Codisposal Upper'!$A$9:$BN$9,1),FALSE),0)+IFERROR(VLOOKUP($B25,'RA10-Codisposal Slopes'!$A$11:$BN$18,MATCH(Summary!BG$1,'RA10-Codisposal Slopes'!$A$9:$BN$9,1),FALSE),0)+IFERROR(VLOOKUP($B25,'IA1-Final Void inc Ramps'!$A$11:$BN$18,MATCH(Summary!BG$1,'IA1-Final Void inc Ramps'!$A$9:$BN$9,1),FALSE),0)</f>
        <v>171.6</v>
      </c>
      <c r="BH25" s="51">
        <f>IFERROR(VLOOKUP($B25,'RA1- Elevated Dumps Upper'!$A$11:$BN$18,MATCH(Summary!BH$1,'RA1- Elevated Dumps Upper'!$A$9:$BN$9,1),FALSE),0)+IFERROR(VLOOKUP($B25,'RA2-Elevated Dumps Slopes'!$A$11:$BN$18,MATCH(Summary!BH$1,'RA2-Elevated Dumps Slopes'!$A$9:$BN$9,1),FALSE),0)+IFERROR(VLOOKUP($B25,'RA3-Backfilled Pits'!$A$11:$BN$18,MATCH(Summary!BH$1,'RA3-Backfilled Pits'!$A$9:$BN$9,1),FALSE),0)+IFERROR(VLOOKUP($B25,'RA4-Tracks_Roads'!$A$11:$BN$18,MATCH(Summary!BH$1,'RA4-Tracks_Roads'!$A$9:$BN$9,1),FALSE),0)+IFERROR(VLOOKUP($B25,'RA5-ROM'!$A$11:$BN$18,MATCH(Summary!BH$1,'RA5-ROM'!$A$9:$BN$9,1),FALSE),0)+IFERROR(VLOOKUP($B25,'RA6-CHPP'!$A$11:$BN$18,MATCH(Summary!BH$1,'RA6-CHPP'!$A$9:$BN$9,1),FALSE),0)+IFERROR(VLOOKUP($B25,'RA7-Mine Infrastructure Area'!$A$11:$BN$18,MATCH(Summary!BH$1,'RA7-Mine Infrastructure Area'!$A$9:$BN$9,1),FALSE),0)+IFERROR(VLOOKUP($B25,'RA8-Water Management Structures'!$A$11:$BN$18,MATCH(Summary!BH$1,'RA8-Water Management Structures'!$A$9:$BN$9,1),FALSE),0)+IFERROR(VLOOKUP($B25,'RA9-Codisposal Upper'!$A$11:$BN$18,MATCH(Summary!BH$1,'RA9-Codisposal Upper'!$A$9:$BN$9,1),FALSE),0)+IFERROR(VLOOKUP($B25,'RA10-Codisposal Slopes'!$A$11:$BN$18,MATCH(Summary!BH$1,'RA10-Codisposal Slopes'!$A$9:$BN$9,1),FALSE),0)+IFERROR(VLOOKUP($B25,'IA1-Final Void inc Ramps'!$A$11:$BN$18,MATCH(Summary!BH$1,'IA1-Final Void inc Ramps'!$A$9:$BN$9,1),FALSE),0)</f>
        <v>171.6</v>
      </c>
      <c r="BI25" s="51">
        <f>IFERROR(VLOOKUP($B25,'RA1- Elevated Dumps Upper'!$A$11:$BN$18,MATCH(Summary!BI$1,'RA1- Elevated Dumps Upper'!$A$9:$BN$9,1),FALSE),0)+IFERROR(VLOOKUP($B25,'RA2-Elevated Dumps Slopes'!$A$11:$BN$18,MATCH(Summary!BI$1,'RA2-Elevated Dumps Slopes'!$A$9:$BN$9,1),FALSE),0)+IFERROR(VLOOKUP($B25,'RA3-Backfilled Pits'!$A$11:$BN$18,MATCH(Summary!BI$1,'RA3-Backfilled Pits'!$A$9:$BN$9,1),FALSE),0)+IFERROR(VLOOKUP($B25,'RA4-Tracks_Roads'!$A$11:$BN$18,MATCH(Summary!BI$1,'RA4-Tracks_Roads'!$A$9:$BN$9,1),FALSE),0)+IFERROR(VLOOKUP($B25,'RA5-ROM'!$A$11:$BN$18,MATCH(Summary!BI$1,'RA5-ROM'!$A$9:$BN$9,1),FALSE),0)+IFERROR(VLOOKUP($B25,'RA6-CHPP'!$A$11:$BN$18,MATCH(Summary!BI$1,'RA6-CHPP'!$A$9:$BN$9,1),FALSE),0)+IFERROR(VLOOKUP($B25,'RA7-Mine Infrastructure Area'!$A$11:$BN$18,MATCH(Summary!BI$1,'RA7-Mine Infrastructure Area'!$A$9:$BN$9,1),FALSE),0)+IFERROR(VLOOKUP($B25,'RA8-Water Management Structures'!$A$11:$BN$18,MATCH(Summary!BI$1,'RA8-Water Management Structures'!$A$9:$BN$9,1),FALSE),0)+IFERROR(VLOOKUP($B25,'RA9-Codisposal Upper'!$A$11:$BN$18,MATCH(Summary!BI$1,'RA9-Codisposal Upper'!$A$9:$BN$9,1),FALSE),0)+IFERROR(VLOOKUP($B25,'RA10-Codisposal Slopes'!$A$11:$BN$18,MATCH(Summary!BI$1,'RA10-Codisposal Slopes'!$A$9:$BN$9,1),FALSE),0)+IFERROR(VLOOKUP($B25,'IA1-Final Void inc Ramps'!$A$11:$BN$18,MATCH(Summary!BI$1,'IA1-Final Void inc Ramps'!$A$9:$BN$9,1),FALSE),0)</f>
        <v>171.6</v>
      </c>
      <c r="BJ25" s="51">
        <f>IFERROR(VLOOKUP($B25,'RA1- Elevated Dumps Upper'!$A$11:$BN$18,MATCH(Summary!BJ$1,'RA1- Elevated Dumps Upper'!$A$9:$BN$9,1),FALSE),0)+IFERROR(VLOOKUP($B25,'RA2-Elevated Dumps Slopes'!$A$11:$BN$18,MATCH(Summary!BJ$1,'RA2-Elevated Dumps Slopes'!$A$9:$BN$9,1),FALSE),0)+IFERROR(VLOOKUP($B25,'RA3-Backfilled Pits'!$A$11:$BN$18,MATCH(Summary!BJ$1,'RA3-Backfilled Pits'!$A$9:$BN$9,1),FALSE),0)+IFERROR(VLOOKUP($B25,'RA4-Tracks_Roads'!$A$11:$BN$18,MATCH(Summary!BJ$1,'RA4-Tracks_Roads'!$A$9:$BN$9,1),FALSE),0)+IFERROR(VLOOKUP($B25,'RA5-ROM'!$A$11:$BN$18,MATCH(Summary!BJ$1,'RA5-ROM'!$A$9:$BN$9,1),FALSE),0)+IFERROR(VLOOKUP($B25,'RA6-CHPP'!$A$11:$BN$18,MATCH(Summary!BJ$1,'RA6-CHPP'!$A$9:$BN$9,1),FALSE),0)+IFERROR(VLOOKUP($B25,'RA7-Mine Infrastructure Area'!$A$11:$BN$18,MATCH(Summary!BJ$1,'RA7-Mine Infrastructure Area'!$A$9:$BN$9,1),FALSE),0)+IFERROR(VLOOKUP($B25,'RA8-Water Management Structures'!$A$11:$BN$18,MATCH(Summary!BJ$1,'RA8-Water Management Structures'!$A$9:$BN$9,1),FALSE),0)+IFERROR(VLOOKUP($B25,'RA9-Codisposal Upper'!$A$11:$BN$18,MATCH(Summary!BJ$1,'RA9-Codisposal Upper'!$A$9:$BN$9,1),FALSE),0)+IFERROR(VLOOKUP($B25,'RA10-Codisposal Slopes'!$A$11:$BN$18,MATCH(Summary!BJ$1,'RA10-Codisposal Slopes'!$A$9:$BN$9,1),FALSE),0)+IFERROR(VLOOKUP($B25,'IA1-Final Void inc Ramps'!$A$11:$BN$18,MATCH(Summary!BJ$1,'IA1-Final Void inc Ramps'!$A$9:$BN$9,1),FALSE),0)</f>
        <v>171.6</v>
      </c>
      <c r="BK25" s="51">
        <f>IFERROR(VLOOKUP($B25,'RA1- Elevated Dumps Upper'!$A$11:$BN$18,MATCH(Summary!BK$1,'RA1- Elevated Dumps Upper'!$A$9:$BN$9,1),FALSE),0)+IFERROR(VLOOKUP($B25,'RA2-Elevated Dumps Slopes'!$A$11:$BN$18,MATCH(Summary!BK$1,'RA2-Elevated Dumps Slopes'!$A$9:$BN$9,1),FALSE),0)+IFERROR(VLOOKUP($B25,'RA3-Backfilled Pits'!$A$11:$BN$18,MATCH(Summary!BK$1,'RA3-Backfilled Pits'!$A$9:$BN$9,1),FALSE),0)+IFERROR(VLOOKUP($B25,'RA4-Tracks_Roads'!$A$11:$BN$18,MATCH(Summary!BK$1,'RA4-Tracks_Roads'!$A$9:$BN$9,1),FALSE),0)+IFERROR(VLOOKUP($B25,'RA5-ROM'!$A$11:$BN$18,MATCH(Summary!BK$1,'RA5-ROM'!$A$9:$BN$9,1),FALSE),0)+IFERROR(VLOOKUP($B25,'RA6-CHPP'!$A$11:$BN$18,MATCH(Summary!BK$1,'RA6-CHPP'!$A$9:$BN$9,1),FALSE),0)+IFERROR(VLOOKUP($B25,'RA7-Mine Infrastructure Area'!$A$11:$BN$18,MATCH(Summary!BK$1,'RA7-Mine Infrastructure Area'!$A$9:$BN$9,1),FALSE),0)+IFERROR(VLOOKUP($B25,'RA8-Water Management Structures'!$A$11:$BN$18,MATCH(Summary!BK$1,'RA8-Water Management Structures'!$A$9:$BN$9,1),FALSE),0)+IFERROR(VLOOKUP($B25,'RA9-Codisposal Upper'!$A$11:$BN$18,MATCH(Summary!BK$1,'RA9-Codisposal Upper'!$A$9:$BN$9,1),FALSE),0)+IFERROR(VLOOKUP($B25,'RA10-Codisposal Slopes'!$A$11:$BN$18,MATCH(Summary!BK$1,'RA10-Codisposal Slopes'!$A$9:$BN$9,1),FALSE),0)+IFERROR(VLOOKUP($B25,'IA1-Final Void inc Ramps'!$A$11:$BN$18,MATCH(Summary!BK$1,'IA1-Final Void inc Ramps'!$A$9:$BN$9,1),FALSE),0)</f>
        <v>171.6</v>
      </c>
      <c r="BL25" s="51">
        <f>IFERROR(VLOOKUP($B25,'RA1- Elevated Dumps Upper'!$A$11:$BN$18,MATCH(Summary!BL$1,'RA1- Elevated Dumps Upper'!$A$9:$BN$9,1),FALSE),0)+IFERROR(VLOOKUP($B25,'RA2-Elevated Dumps Slopes'!$A$11:$BN$18,MATCH(Summary!BL$1,'RA2-Elevated Dumps Slopes'!$A$9:$BN$9,1),FALSE),0)+IFERROR(VLOOKUP($B25,'RA3-Backfilled Pits'!$A$11:$BN$18,MATCH(Summary!BL$1,'RA3-Backfilled Pits'!$A$9:$BN$9,1),FALSE),0)+IFERROR(VLOOKUP($B25,'RA4-Tracks_Roads'!$A$11:$BN$18,MATCH(Summary!BL$1,'RA4-Tracks_Roads'!$A$9:$BN$9,1),FALSE),0)+IFERROR(VLOOKUP($B25,'RA5-ROM'!$A$11:$BN$18,MATCH(Summary!BL$1,'RA5-ROM'!$A$9:$BN$9,1),FALSE),0)+IFERROR(VLOOKUP($B25,'RA6-CHPP'!$A$11:$BN$18,MATCH(Summary!BL$1,'RA6-CHPP'!$A$9:$BN$9,1),FALSE),0)+IFERROR(VLOOKUP($B25,'RA7-Mine Infrastructure Area'!$A$11:$BN$18,MATCH(Summary!BL$1,'RA7-Mine Infrastructure Area'!$A$9:$BN$9,1),FALSE),0)+IFERROR(VLOOKUP($B25,'RA8-Water Management Structures'!$A$11:$BN$18,MATCH(Summary!BL$1,'RA8-Water Management Structures'!$A$9:$BN$9,1),FALSE),0)+IFERROR(VLOOKUP($B25,'RA9-Codisposal Upper'!$A$11:$BN$18,MATCH(Summary!BL$1,'RA9-Codisposal Upper'!$A$9:$BN$9,1),FALSE),0)+IFERROR(VLOOKUP($B25,'RA10-Codisposal Slopes'!$A$11:$BN$18,MATCH(Summary!BL$1,'RA10-Codisposal Slopes'!$A$9:$BN$9,1),FALSE),0)+IFERROR(VLOOKUP($B25,'IA1-Final Void inc Ramps'!$A$11:$BN$18,MATCH(Summary!BL$1,'IA1-Final Void inc Ramps'!$A$9:$BN$9,1),FALSE),0)</f>
        <v>171.6</v>
      </c>
      <c r="BM25" s="51">
        <f>IFERROR(VLOOKUP($B25,'RA1- Elevated Dumps Upper'!$A$11:$BN$18,MATCH(Summary!BM$1,'RA1- Elevated Dumps Upper'!$A$9:$BN$9,1),FALSE),0)+IFERROR(VLOOKUP($B25,'RA2-Elevated Dumps Slopes'!$A$11:$BN$18,MATCH(Summary!BM$1,'RA2-Elevated Dumps Slopes'!$A$9:$BN$9,1),FALSE),0)+IFERROR(VLOOKUP($B25,'RA3-Backfilled Pits'!$A$11:$BN$18,MATCH(Summary!BM$1,'RA3-Backfilled Pits'!$A$9:$BN$9,1),FALSE),0)+IFERROR(VLOOKUP($B25,'RA4-Tracks_Roads'!$A$11:$BN$18,MATCH(Summary!BM$1,'RA4-Tracks_Roads'!$A$9:$BN$9,1),FALSE),0)+IFERROR(VLOOKUP($B25,'RA5-ROM'!$A$11:$BN$18,MATCH(Summary!BM$1,'RA5-ROM'!$A$9:$BN$9,1),FALSE),0)+IFERROR(VLOOKUP($B25,'RA6-CHPP'!$A$11:$BN$18,MATCH(Summary!BM$1,'RA6-CHPP'!$A$9:$BN$9,1),FALSE),0)+IFERROR(VLOOKUP($B25,'RA7-Mine Infrastructure Area'!$A$11:$BN$18,MATCH(Summary!BM$1,'RA7-Mine Infrastructure Area'!$A$9:$BN$9,1),FALSE),0)+IFERROR(VLOOKUP($B25,'RA8-Water Management Structures'!$A$11:$BN$18,MATCH(Summary!BM$1,'RA8-Water Management Structures'!$A$9:$BN$9,1),FALSE),0)+IFERROR(VLOOKUP($B25,'RA9-Codisposal Upper'!$A$11:$BN$18,MATCH(Summary!BM$1,'RA9-Codisposal Upper'!$A$9:$BN$9,1),FALSE),0)+IFERROR(VLOOKUP($B25,'RA10-Codisposal Slopes'!$A$11:$BN$18,MATCH(Summary!BM$1,'RA10-Codisposal Slopes'!$A$9:$BN$9,1),FALSE),0)+IFERROR(VLOOKUP($B25,'IA1-Final Void inc Ramps'!$A$11:$BN$18,MATCH(Summary!BM$1,'IA1-Final Void inc Ramps'!$A$9:$BN$9,1),FALSE),0)</f>
        <v>171.6</v>
      </c>
      <c r="BN25" s="51">
        <f>IFERROR(VLOOKUP($B25,'RA1- Elevated Dumps Upper'!$A$11:$BN$18,MATCH(Summary!BN$1,'RA1- Elevated Dumps Upper'!$A$9:$BN$9,1),FALSE),0)+IFERROR(VLOOKUP($B25,'RA2-Elevated Dumps Slopes'!$A$11:$BN$18,MATCH(Summary!BN$1,'RA2-Elevated Dumps Slopes'!$A$9:$BN$9,1),FALSE),0)+IFERROR(VLOOKUP($B25,'RA3-Backfilled Pits'!$A$11:$BN$18,MATCH(Summary!BN$1,'RA3-Backfilled Pits'!$A$9:$BN$9,1),FALSE),0)+IFERROR(VLOOKUP($B25,'RA4-Tracks_Roads'!$A$11:$BN$18,MATCH(Summary!BN$1,'RA4-Tracks_Roads'!$A$9:$BN$9,1),FALSE),0)+IFERROR(VLOOKUP($B25,'RA5-ROM'!$A$11:$BN$18,MATCH(Summary!BN$1,'RA5-ROM'!$A$9:$BN$9,1),FALSE),0)+IFERROR(VLOOKUP($B25,'RA6-CHPP'!$A$11:$BN$18,MATCH(Summary!BN$1,'RA6-CHPP'!$A$9:$BN$9,1),FALSE),0)+IFERROR(VLOOKUP($B25,'RA7-Mine Infrastructure Area'!$A$11:$BN$18,MATCH(Summary!BN$1,'RA7-Mine Infrastructure Area'!$A$9:$BN$9,1),FALSE),0)+IFERROR(VLOOKUP($B25,'RA8-Water Management Structures'!$A$11:$BN$18,MATCH(Summary!BN$1,'RA8-Water Management Structures'!$A$9:$BN$9,1),FALSE),0)+IFERROR(VLOOKUP($B25,'RA9-Codisposal Upper'!$A$11:$BN$18,MATCH(Summary!BN$1,'RA9-Codisposal Upper'!$A$9:$BN$9,1),FALSE),0)+IFERROR(VLOOKUP($B25,'RA10-Codisposal Slopes'!$A$11:$BN$18,MATCH(Summary!BN$1,'RA10-Codisposal Slopes'!$A$9:$BN$9,1),FALSE),0)+IFERROR(VLOOKUP($B25,'IA1-Final Void inc Ramps'!$A$11:$BN$18,MATCH(Summary!BN$1,'IA1-Final Void inc Ramps'!$A$9:$BN$9,1),FALSE),0)</f>
        <v>171.6</v>
      </c>
    </row>
    <row r="26" spans="1:66" x14ac:dyDescent="0.35">
      <c r="A26" t="s">
        <v>120</v>
      </c>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row>
    <row r="27" spans="1:66" x14ac:dyDescent="0.35">
      <c r="B27" t="str">
        <f>B13</f>
        <v>RM1</v>
      </c>
      <c r="D27" s="51">
        <f t="shared" ref="D27:BN28" si="2">IF(D13&gt;C13,MAX(D13,C27),C27)</f>
        <v>0</v>
      </c>
      <c r="E27" s="51">
        <f t="shared" si="2"/>
        <v>0</v>
      </c>
      <c r="F27" s="51">
        <f t="shared" si="2"/>
        <v>0</v>
      </c>
      <c r="G27" s="51">
        <f t="shared" si="2"/>
        <v>0</v>
      </c>
      <c r="H27" s="51">
        <f t="shared" si="2"/>
        <v>0</v>
      </c>
      <c r="I27" s="51">
        <f t="shared" si="2"/>
        <v>0</v>
      </c>
      <c r="J27" s="51">
        <f t="shared" si="2"/>
        <v>0</v>
      </c>
      <c r="K27" s="51">
        <f t="shared" si="2"/>
        <v>0</v>
      </c>
      <c r="L27" s="51">
        <f t="shared" si="2"/>
        <v>0</v>
      </c>
      <c r="M27" s="51">
        <f t="shared" si="2"/>
        <v>0</v>
      </c>
      <c r="N27" s="51">
        <f t="shared" si="2"/>
        <v>0</v>
      </c>
      <c r="O27" s="51">
        <f t="shared" si="2"/>
        <v>0</v>
      </c>
      <c r="P27" s="51">
        <f t="shared" si="2"/>
        <v>0</v>
      </c>
      <c r="Q27" s="51">
        <f t="shared" si="2"/>
        <v>0</v>
      </c>
      <c r="R27" s="51">
        <f t="shared" si="2"/>
        <v>0</v>
      </c>
      <c r="S27" s="51">
        <f t="shared" si="2"/>
        <v>0</v>
      </c>
      <c r="T27" s="51">
        <f t="shared" si="2"/>
        <v>0</v>
      </c>
      <c r="U27" s="51">
        <f t="shared" si="2"/>
        <v>0</v>
      </c>
      <c r="V27" s="51">
        <f t="shared" si="2"/>
        <v>0</v>
      </c>
      <c r="W27" s="51">
        <f t="shared" si="2"/>
        <v>0</v>
      </c>
      <c r="X27" s="51">
        <f t="shared" si="2"/>
        <v>0</v>
      </c>
      <c r="Y27" s="51">
        <f t="shared" si="2"/>
        <v>0</v>
      </c>
      <c r="Z27" s="51">
        <f t="shared" si="2"/>
        <v>0</v>
      </c>
      <c r="AA27" s="51">
        <f t="shared" si="2"/>
        <v>0</v>
      </c>
      <c r="AB27" s="51">
        <f t="shared" si="2"/>
        <v>0</v>
      </c>
      <c r="AC27" s="51">
        <f t="shared" si="2"/>
        <v>72.989999999999995</v>
      </c>
      <c r="AD27" s="51">
        <f t="shared" si="2"/>
        <v>72.989999999999995</v>
      </c>
      <c r="AE27" s="51">
        <f t="shared" si="2"/>
        <v>156.613</v>
      </c>
      <c r="AF27" s="51">
        <f t="shared" si="2"/>
        <v>156.613</v>
      </c>
      <c r="AG27" s="51">
        <f t="shared" si="2"/>
        <v>390.53100000000001</v>
      </c>
      <c r="AH27" s="51">
        <f>IF(AH13&gt;AG13,MAX(AH13,AG27),AG27)</f>
        <v>407.303</v>
      </c>
      <c r="AI27" s="51">
        <f t="shared" si="2"/>
        <v>407.303</v>
      </c>
      <c r="AJ27" s="51">
        <f t="shared" si="2"/>
        <v>407.303</v>
      </c>
      <c r="AK27" s="51">
        <f t="shared" si="2"/>
        <v>407.303</v>
      </c>
      <c r="AL27" s="51">
        <f t="shared" si="2"/>
        <v>407.303</v>
      </c>
      <c r="AM27" s="51">
        <f t="shared" si="2"/>
        <v>407.303</v>
      </c>
      <c r="AN27" s="51">
        <f t="shared" si="2"/>
        <v>407.303</v>
      </c>
      <c r="AO27" s="51">
        <f t="shared" si="2"/>
        <v>407.303</v>
      </c>
      <c r="AP27" s="51">
        <f t="shared" si="2"/>
        <v>407.303</v>
      </c>
      <c r="AQ27" s="51">
        <f t="shared" si="2"/>
        <v>407.303</v>
      </c>
      <c r="AR27" s="51">
        <f t="shared" si="2"/>
        <v>407.303</v>
      </c>
      <c r="AS27" s="51">
        <f t="shared" si="2"/>
        <v>407.303</v>
      </c>
      <c r="AT27" s="51">
        <f t="shared" si="2"/>
        <v>407.303</v>
      </c>
      <c r="AU27" s="51">
        <f t="shared" si="2"/>
        <v>407.303</v>
      </c>
      <c r="AV27" s="51">
        <f t="shared" si="2"/>
        <v>407.303</v>
      </c>
      <c r="AW27" s="51">
        <f t="shared" si="2"/>
        <v>407.303</v>
      </c>
      <c r="AX27" s="51">
        <f t="shared" si="2"/>
        <v>407.303</v>
      </c>
      <c r="AY27" s="51">
        <f t="shared" si="2"/>
        <v>407.303</v>
      </c>
      <c r="AZ27" s="51">
        <f t="shared" si="2"/>
        <v>407.303</v>
      </c>
      <c r="BA27" s="51">
        <f t="shared" si="2"/>
        <v>407.303</v>
      </c>
      <c r="BB27" s="51">
        <f t="shared" si="2"/>
        <v>407.303</v>
      </c>
      <c r="BC27" s="51">
        <f t="shared" si="2"/>
        <v>407.303</v>
      </c>
      <c r="BD27" s="51">
        <f t="shared" si="2"/>
        <v>407.303</v>
      </c>
      <c r="BE27" s="51">
        <f t="shared" si="2"/>
        <v>407.303</v>
      </c>
      <c r="BF27" s="51">
        <f t="shared" si="2"/>
        <v>407.303</v>
      </c>
      <c r="BG27" s="51">
        <f t="shared" si="2"/>
        <v>407.303</v>
      </c>
      <c r="BH27" s="51">
        <f t="shared" si="2"/>
        <v>407.303</v>
      </c>
      <c r="BI27" s="51">
        <f t="shared" si="2"/>
        <v>407.303</v>
      </c>
      <c r="BJ27" s="51">
        <f t="shared" si="2"/>
        <v>407.303</v>
      </c>
      <c r="BK27" s="51">
        <f t="shared" si="2"/>
        <v>407.303</v>
      </c>
      <c r="BL27" s="51">
        <f t="shared" si="2"/>
        <v>407.303</v>
      </c>
      <c r="BM27" s="51">
        <f t="shared" si="2"/>
        <v>407.303</v>
      </c>
      <c r="BN27" s="51">
        <f t="shared" si="2"/>
        <v>407.303</v>
      </c>
    </row>
    <row r="28" spans="1:66" x14ac:dyDescent="0.35">
      <c r="B28" t="str">
        <f t="shared" ref="B28:B39" si="3">B14</f>
        <v>RM2</v>
      </c>
      <c r="D28" s="51">
        <f t="shared" si="2"/>
        <v>0</v>
      </c>
      <c r="E28" s="51">
        <f t="shared" si="2"/>
        <v>0</v>
      </c>
      <c r="F28" s="51">
        <f t="shared" si="2"/>
        <v>0</v>
      </c>
      <c r="G28" s="51">
        <f t="shared" si="2"/>
        <v>0</v>
      </c>
      <c r="H28" s="51">
        <f t="shared" si="2"/>
        <v>0</v>
      </c>
      <c r="I28" s="51">
        <f t="shared" si="2"/>
        <v>0</v>
      </c>
      <c r="J28" s="51">
        <f t="shared" si="2"/>
        <v>0</v>
      </c>
      <c r="K28" s="51">
        <f t="shared" si="2"/>
        <v>33.869</v>
      </c>
      <c r="L28" s="51">
        <f t="shared" si="2"/>
        <v>78.697000000000003</v>
      </c>
      <c r="M28" s="51">
        <f t="shared" si="2"/>
        <v>129.40700000000001</v>
      </c>
      <c r="N28" s="51">
        <f t="shared" si="2"/>
        <v>241.43900000000002</v>
      </c>
      <c r="O28" s="51">
        <f t="shared" si="2"/>
        <v>433.27699999999999</v>
      </c>
      <c r="P28" s="51">
        <f t="shared" si="2"/>
        <v>509.03999999999996</v>
      </c>
      <c r="Q28" s="51">
        <f t="shared" si="2"/>
        <v>543.51400000000001</v>
      </c>
      <c r="R28" s="51">
        <f t="shared" si="2"/>
        <v>601.03399999999999</v>
      </c>
      <c r="S28" s="51">
        <f t="shared" si="2"/>
        <v>657.9899999999999</v>
      </c>
      <c r="T28" s="51">
        <f t="shared" si="2"/>
        <v>680.76199999999994</v>
      </c>
      <c r="U28" s="51">
        <f t="shared" si="2"/>
        <v>701.06399999999985</v>
      </c>
      <c r="V28" s="51">
        <f t="shared" si="2"/>
        <v>701.06399999999985</v>
      </c>
      <c r="W28" s="51">
        <f t="shared" si="2"/>
        <v>725.3119999999999</v>
      </c>
      <c r="X28" s="51">
        <f t="shared" si="2"/>
        <v>759.93</v>
      </c>
      <c r="Y28" s="51">
        <f t="shared" si="2"/>
        <v>825.22</v>
      </c>
      <c r="Z28" s="51">
        <f t="shared" si="2"/>
        <v>860.49299999999994</v>
      </c>
      <c r="AA28" s="51">
        <f t="shared" si="2"/>
        <v>860.49299999999994</v>
      </c>
      <c r="AB28" s="51">
        <f t="shared" si="2"/>
        <v>860.49299999999994</v>
      </c>
      <c r="AC28" s="51">
        <f t="shared" si="2"/>
        <v>895.03099999999995</v>
      </c>
      <c r="AD28" s="51">
        <f t="shared" si="2"/>
        <v>895.03099999999995</v>
      </c>
      <c r="AE28" s="51">
        <f t="shared" si="2"/>
        <v>895.03099999999995</v>
      </c>
      <c r="AF28" s="51">
        <f t="shared" si="2"/>
        <v>1204.8519999999999</v>
      </c>
      <c r="AG28" s="51">
        <f t="shared" si="2"/>
        <v>1421.7450000000001</v>
      </c>
      <c r="AH28" s="51">
        <f>IF(AH14&gt;AG14,MAX(AH14,AG28),AG28)</f>
        <v>1574.6130000000001</v>
      </c>
      <c r="AI28" s="51">
        <f t="shared" si="2"/>
        <v>1901.2130000000002</v>
      </c>
      <c r="AJ28" s="51">
        <f t="shared" si="2"/>
        <v>1901.2130000000002</v>
      </c>
      <c r="AK28" s="51">
        <f t="shared" si="2"/>
        <v>1901.2130000000002</v>
      </c>
      <c r="AL28" s="51">
        <f t="shared" si="2"/>
        <v>1901.2130000000002</v>
      </c>
      <c r="AM28" s="51">
        <f t="shared" si="2"/>
        <v>1901.2130000000002</v>
      </c>
      <c r="AN28" s="51">
        <f t="shared" si="2"/>
        <v>1901.2130000000002</v>
      </c>
      <c r="AO28" s="51">
        <f t="shared" si="2"/>
        <v>1901.2130000000002</v>
      </c>
      <c r="AP28" s="51">
        <f t="shared" si="2"/>
        <v>1901.2130000000002</v>
      </c>
      <c r="AQ28" s="51">
        <f t="shared" si="2"/>
        <v>1901.2130000000002</v>
      </c>
      <c r="AR28" s="51">
        <f t="shared" si="2"/>
        <v>1901.2130000000002</v>
      </c>
      <c r="AS28" s="51">
        <f t="shared" si="2"/>
        <v>1901.2130000000002</v>
      </c>
      <c r="AT28" s="51">
        <f t="shared" si="2"/>
        <v>1901.2130000000002</v>
      </c>
      <c r="AU28" s="51">
        <f t="shared" si="2"/>
        <v>1901.2130000000002</v>
      </c>
      <c r="AV28" s="51">
        <f t="shared" si="2"/>
        <v>1901.2130000000002</v>
      </c>
      <c r="AW28" s="51">
        <f t="shared" si="2"/>
        <v>1901.2130000000002</v>
      </c>
      <c r="AX28" s="51">
        <f t="shared" si="2"/>
        <v>1901.2130000000002</v>
      </c>
      <c r="AY28" s="51">
        <f t="shared" si="2"/>
        <v>1901.2130000000002</v>
      </c>
      <c r="AZ28" s="51">
        <f t="shared" si="2"/>
        <v>1901.2130000000002</v>
      </c>
      <c r="BA28" s="51">
        <f t="shared" si="2"/>
        <v>1901.2130000000002</v>
      </c>
      <c r="BB28" s="51">
        <f t="shared" si="2"/>
        <v>1901.2130000000002</v>
      </c>
      <c r="BC28" s="51">
        <f t="shared" si="2"/>
        <v>1901.2130000000002</v>
      </c>
      <c r="BD28" s="51">
        <f t="shared" si="2"/>
        <v>1901.2130000000002</v>
      </c>
      <c r="BE28" s="51">
        <f t="shared" si="2"/>
        <v>1901.2130000000002</v>
      </c>
      <c r="BF28" s="51">
        <f t="shared" si="2"/>
        <v>1901.2130000000002</v>
      </c>
      <c r="BG28" s="51">
        <f t="shared" si="2"/>
        <v>1901.2130000000002</v>
      </c>
      <c r="BH28" s="51">
        <f t="shared" si="2"/>
        <v>1901.2130000000002</v>
      </c>
      <c r="BI28" s="51">
        <f t="shared" si="2"/>
        <v>1901.2130000000002</v>
      </c>
      <c r="BJ28" s="51">
        <f t="shared" si="2"/>
        <v>1901.2130000000002</v>
      </c>
      <c r="BK28" s="51">
        <f t="shared" si="2"/>
        <v>1901.2130000000002</v>
      </c>
      <c r="BL28" s="51">
        <f t="shared" si="2"/>
        <v>1901.2130000000002</v>
      </c>
      <c r="BM28" s="51">
        <f t="shared" si="2"/>
        <v>1901.2130000000002</v>
      </c>
      <c r="BN28" s="51">
        <f t="shared" si="2"/>
        <v>1901.2130000000002</v>
      </c>
    </row>
    <row r="29" spans="1:66" x14ac:dyDescent="0.35">
      <c r="B29" t="str">
        <f t="shared" si="3"/>
        <v>RM3</v>
      </c>
      <c r="D29" s="51">
        <f t="shared" ref="D29:BN29" si="4">IF(D15&gt;C15,MAX(D15,C29),C29)</f>
        <v>0</v>
      </c>
      <c r="E29" s="51">
        <f t="shared" si="4"/>
        <v>0</v>
      </c>
      <c r="F29" s="51">
        <f t="shared" si="4"/>
        <v>0</v>
      </c>
      <c r="G29" s="51">
        <f t="shared" si="4"/>
        <v>0</v>
      </c>
      <c r="H29" s="51">
        <f t="shared" si="4"/>
        <v>0</v>
      </c>
      <c r="I29" s="51">
        <f t="shared" si="4"/>
        <v>0</v>
      </c>
      <c r="J29" s="51">
        <f t="shared" si="4"/>
        <v>0</v>
      </c>
      <c r="K29" s="51">
        <f t="shared" si="4"/>
        <v>0</v>
      </c>
      <c r="L29" s="51">
        <f t="shared" si="4"/>
        <v>0</v>
      </c>
      <c r="M29" s="51">
        <f t="shared" si="4"/>
        <v>0</v>
      </c>
      <c r="N29" s="51">
        <f t="shared" si="4"/>
        <v>0</v>
      </c>
      <c r="O29" s="51">
        <f t="shared" si="4"/>
        <v>0</v>
      </c>
      <c r="P29" s="51">
        <f t="shared" si="4"/>
        <v>0</v>
      </c>
      <c r="Q29" s="51">
        <f t="shared" si="4"/>
        <v>0</v>
      </c>
      <c r="R29" s="51">
        <f t="shared" si="4"/>
        <v>0</v>
      </c>
      <c r="S29" s="51">
        <f t="shared" si="4"/>
        <v>0</v>
      </c>
      <c r="T29" s="51">
        <f t="shared" si="4"/>
        <v>0</v>
      </c>
      <c r="U29" s="51">
        <f t="shared" si="4"/>
        <v>0</v>
      </c>
      <c r="V29" s="51">
        <f t="shared" si="4"/>
        <v>0</v>
      </c>
      <c r="W29" s="51">
        <f t="shared" si="4"/>
        <v>0</v>
      </c>
      <c r="X29" s="51">
        <f t="shared" si="4"/>
        <v>0</v>
      </c>
      <c r="Y29" s="51">
        <f t="shared" si="4"/>
        <v>0</v>
      </c>
      <c r="Z29" s="51">
        <f t="shared" si="4"/>
        <v>0</v>
      </c>
      <c r="AA29" s="51">
        <f t="shared" si="4"/>
        <v>0</v>
      </c>
      <c r="AB29" s="51">
        <f t="shared" si="4"/>
        <v>0</v>
      </c>
      <c r="AC29" s="51">
        <f t="shared" si="4"/>
        <v>0</v>
      </c>
      <c r="AD29" s="51">
        <f t="shared" si="4"/>
        <v>0</v>
      </c>
      <c r="AE29" s="51">
        <f t="shared" si="4"/>
        <v>0</v>
      </c>
      <c r="AF29" s="51">
        <f t="shared" si="4"/>
        <v>0</v>
      </c>
      <c r="AG29" s="51">
        <f t="shared" si="4"/>
        <v>0</v>
      </c>
      <c r="AH29" s="51">
        <f t="shared" si="4"/>
        <v>65.300000000000011</v>
      </c>
      <c r="AI29" s="51">
        <f t="shared" si="4"/>
        <v>65.300000000000011</v>
      </c>
      <c r="AJ29" s="51">
        <f t="shared" si="4"/>
        <v>65.300000000000011</v>
      </c>
      <c r="AK29" s="51">
        <f t="shared" si="4"/>
        <v>65.300000000000011</v>
      </c>
      <c r="AL29" s="51">
        <f t="shared" si="4"/>
        <v>65.300000000000011</v>
      </c>
      <c r="AM29" s="51">
        <f t="shared" si="4"/>
        <v>65.300000000000011</v>
      </c>
      <c r="AN29" s="51">
        <f t="shared" si="4"/>
        <v>65.300000000000011</v>
      </c>
      <c r="AO29" s="51">
        <f t="shared" si="4"/>
        <v>65.300000000000011</v>
      </c>
      <c r="AP29" s="51">
        <f t="shared" si="4"/>
        <v>65.300000000000011</v>
      </c>
      <c r="AQ29" s="51">
        <f t="shared" si="4"/>
        <v>65.300000000000011</v>
      </c>
      <c r="AR29" s="51">
        <f t="shared" si="4"/>
        <v>65.300000000000011</v>
      </c>
      <c r="AS29" s="51">
        <f t="shared" si="4"/>
        <v>65.300000000000011</v>
      </c>
      <c r="AT29" s="51">
        <f t="shared" si="4"/>
        <v>65.300000000000011</v>
      </c>
      <c r="AU29" s="51">
        <f t="shared" si="4"/>
        <v>65.300000000000011</v>
      </c>
      <c r="AV29" s="51">
        <f t="shared" si="4"/>
        <v>65.300000000000011</v>
      </c>
      <c r="AW29" s="51">
        <f t="shared" si="4"/>
        <v>65.300000000000011</v>
      </c>
      <c r="AX29" s="51">
        <f t="shared" si="4"/>
        <v>65.300000000000011</v>
      </c>
      <c r="AY29" s="51">
        <f t="shared" si="4"/>
        <v>65.300000000000011</v>
      </c>
      <c r="AZ29" s="51">
        <f t="shared" si="4"/>
        <v>65.300000000000011</v>
      </c>
      <c r="BA29" s="51">
        <f t="shared" si="4"/>
        <v>65.300000000000011</v>
      </c>
      <c r="BB29" s="51">
        <f t="shared" si="4"/>
        <v>65.300000000000011</v>
      </c>
      <c r="BC29" s="51">
        <f t="shared" si="4"/>
        <v>65.300000000000011</v>
      </c>
      <c r="BD29" s="51">
        <f t="shared" si="4"/>
        <v>65.300000000000011</v>
      </c>
      <c r="BE29" s="51">
        <f t="shared" si="4"/>
        <v>65.300000000000011</v>
      </c>
      <c r="BF29" s="51">
        <f t="shared" si="4"/>
        <v>65.300000000000011</v>
      </c>
      <c r="BG29" s="51">
        <f t="shared" si="4"/>
        <v>65.300000000000011</v>
      </c>
      <c r="BH29" s="51">
        <f t="shared" si="4"/>
        <v>65.300000000000011</v>
      </c>
      <c r="BI29" s="51">
        <f t="shared" si="4"/>
        <v>65.300000000000011</v>
      </c>
      <c r="BJ29" s="51">
        <f t="shared" si="4"/>
        <v>65.300000000000011</v>
      </c>
      <c r="BK29" s="51">
        <f t="shared" si="4"/>
        <v>65.300000000000011</v>
      </c>
      <c r="BL29" s="51">
        <f t="shared" si="4"/>
        <v>65.300000000000011</v>
      </c>
      <c r="BM29" s="51">
        <f t="shared" si="4"/>
        <v>65.300000000000011</v>
      </c>
      <c r="BN29" s="51">
        <f t="shared" si="4"/>
        <v>65.300000000000011</v>
      </c>
    </row>
    <row r="30" spans="1:66" x14ac:dyDescent="0.35">
      <c r="B30" t="str">
        <f t="shared" si="3"/>
        <v>RM4</v>
      </c>
      <c r="D30" s="51">
        <f t="shared" ref="D30:BN30" si="5">IF(D16&gt;C16,MAX(D16,C30),C30)</f>
        <v>0</v>
      </c>
      <c r="E30" s="51">
        <f t="shared" si="5"/>
        <v>0</v>
      </c>
      <c r="F30" s="51">
        <f t="shared" si="5"/>
        <v>0</v>
      </c>
      <c r="G30" s="51">
        <f t="shared" si="5"/>
        <v>0</v>
      </c>
      <c r="H30" s="51">
        <f t="shared" si="5"/>
        <v>0</v>
      </c>
      <c r="I30" s="51">
        <f t="shared" si="5"/>
        <v>0</v>
      </c>
      <c r="J30" s="51">
        <f t="shared" si="5"/>
        <v>0</v>
      </c>
      <c r="K30" s="51">
        <f t="shared" si="5"/>
        <v>33.869</v>
      </c>
      <c r="L30" s="51">
        <f t="shared" si="5"/>
        <v>78.697000000000003</v>
      </c>
      <c r="M30" s="51">
        <f t="shared" si="5"/>
        <v>129.40700000000001</v>
      </c>
      <c r="N30" s="51">
        <f t="shared" si="5"/>
        <v>241.43900000000002</v>
      </c>
      <c r="O30" s="51">
        <f t="shared" si="5"/>
        <v>433.27699999999999</v>
      </c>
      <c r="P30" s="51">
        <f t="shared" si="5"/>
        <v>509.03999999999996</v>
      </c>
      <c r="Q30" s="51">
        <f t="shared" si="5"/>
        <v>543.51400000000001</v>
      </c>
      <c r="R30" s="51">
        <f t="shared" si="5"/>
        <v>601.03399999999999</v>
      </c>
      <c r="S30" s="51">
        <f t="shared" si="5"/>
        <v>657.9899999999999</v>
      </c>
      <c r="T30" s="51">
        <f t="shared" si="5"/>
        <v>680.76199999999994</v>
      </c>
      <c r="U30" s="51">
        <f t="shared" si="5"/>
        <v>701.06399999999985</v>
      </c>
      <c r="V30" s="51">
        <f t="shared" si="5"/>
        <v>701.06399999999985</v>
      </c>
      <c r="W30" s="51">
        <f t="shared" si="5"/>
        <v>725.3119999999999</v>
      </c>
      <c r="X30" s="51">
        <f t="shared" si="5"/>
        <v>759.93</v>
      </c>
      <c r="Y30" s="51">
        <f t="shared" si="5"/>
        <v>825.22</v>
      </c>
      <c r="Z30" s="51">
        <f t="shared" si="5"/>
        <v>860.49299999999994</v>
      </c>
      <c r="AA30" s="51">
        <f t="shared" si="5"/>
        <v>860.49299999999994</v>
      </c>
      <c r="AB30" s="51">
        <f t="shared" si="5"/>
        <v>860.49299999999994</v>
      </c>
      <c r="AC30" s="51">
        <f t="shared" si="5"/>
        <v>895.03099999999995</v>
      </c>
      <c r="AD30" s="51">
        <f t="shared" si="5"/>
        <v>895.03099999999995</v>
      </c>
      <c r="AE30" s="51">
        <f t="shared" si="5"/>
        <v>895.03099999999995</v>
      </c>
      <c r="AF30" s="51">
        <f t="shared" si="5"/>
        <v>1204.8519999999999</v>
      </c>
      <c r="AG30" s="51">
        <f t="shared" si="5"/>
        <v>1421.7450000000001</v>
      </c>
      <c r="AH30" s="51">
        <f t="shared" si="5"/>
        <v>1574.6130000000001</v>
      </c>
      <c r="AI30" s="51">
        <f t="shared" si="5"/>
        <v>1901.2130000000002</v>
      </c>
      <c r="AJ30" s="51">
        <f t="shared" si="5"/>
        <v>1901.2130000000002</v>
      </c>
      <c r="AK30" s="51">
        <f t="shared" si="5"/>
        <v>1901.2130000000002</v>
      </c>
      <c r="AL30" s="51">
        <f t="shared" si="5"/>
        <v>1901.2130000000002</v>
      </c>
      <c r="AM30" s="51">
        <f t="shared" si="5"/>
        <v>1901.2130000000002</v>
      </c>
      <c r="AN30" s="51">
        <f t="shared" si="5"/>
        <v>1901.2130000000002</v>
      </c>
      <c r="AO30" s="51">
        <f t="shared" si="5"/>
        <v>1901.2130000000002</v>
      </c>
      <c r="AP30" s="51">
        <f t="shared" si="5"/>
        <v>1901.2130000000002</v>
      </c>
      <c r="AQ30" s="51">
        <f t="shared" si="5"/>
        <v>1901.2130000000002</v>
      </c>
      <c r="AR30" s="51">
        <f t="shared" si="5"/>
        <v>1901.2130000000002</v>
      </c>
      <c r="AS30" s="51">
        <f t="shared" si="5"/>
        <v>1901.2130000000002</v>
      </c>
      <c r="AT30" s="51">
        <f t="shared" si="5"/>
        <v>1901.2130000000002</v>
      </c>
      <c r="AU30" s="51">
        <f t="shared" si="5"/>
        <v>1901.2130000000002</v>
      </c>
      <c r="AV30" s="51">
        <f t="shared" si="5"/>
        <v>1901.2130000000002</v>
      </c>
      <c r="AW30" s="51">
        <f t="shared" si="5"/>
        <v>1901.2130000000002</v>
      </c>
      <c r="AX30" s="51">
        <f t="shared" si="5"/>
        <v>1901.2130000000002</v>
      </c>
      <c r="AY30" s="51">
        <f t="shared" si="5"/>
        <v>1901.2130000000002</v>
      </c>
      <c r="AZ30" s="51">
        <f t="shared" si="5"/>
        <v>1901.2130000000002</v>
      </c>
      <c r="BA30" s="51">
        <f t="shared" si="5"/>
        <v>1901.2130000000002</v>
      </c>
      <c r="BB30" s="51">
        <f t="shared" si="5"/>
        <v>1901.2130000000002</v>
      </c>
      <c r="BC30" s="51">
        <f t="shared" si="5"/>
        <v>1901.2130000000002</v>
      </c>
      <c r="BD30" s="51">
        <f t="shared" si="5"/>
        <v>1901.2130000000002</v>
      </c>
      <c r="BE30" s="51">
        <f t="shared" si="5"/>
        <v>1901.2130000000002</v>
      </c>
      <c r="BF30" s="51">
        <f t="shared" si="5"/>
        <v>1901.2130000000002</v>
      </c>
      <c r="BG30" s="51">
        <f t="shared" si="5"/>
        <v>1901.2130000000002</v>
      </c>
      <c r="BH30" s="51">
        <f t="shared" si="5"/>
        <v>1901.2130000000002</v>
      </c>
      <c r="BI30" s="51">
        <f t="shared" si="5"/>
        <v>1901.2130000000002</v>
      </c>
      <c r="BJ30" s="51">
        <f t="shared" si="5"/>
        <v>1901.2130000000002</v>
      </c>
      <c r="BK30" s="51">
        <f t="shared" si="5"/>
        <v>1901.2130000000002</v>
      </c>
      <c r="BL30" s="51">
        <f t="shared" si="5"/>
        <v>1901.2130000000002</v>
      </c>
      <c r="BM30" s="51">
        <f t="shared" si="5"/>
        <v>1901.2130000000002</v>
      </c>
      <c r="BN30" s="51">
        <f t="shared" si="5"/>
        <v>1901.2130000000002</v>
      </c>
    </row>
    <row r="31" spans="1:66" x14ac:dyDescent="0.35">
      <c r="B31" t="str">
        <f t="shared" si="3"/>
        <v>RM5</v>
      </c>
      <c r="D31" s="51">
        <f t="shared" ref="D31:BN31" si="6">IF(D17&gt;C17,MAX(D17,C31),C31)</f>
        <v>0</v>
      </c>
      <c r="E31" s="51">
        <f t="shared" si="6"/>
        <v>0</v>
      </c>
      <c r="F31" s="51">
        <f t="shared" si="6"/>
        <v>0</v>
      </c>
      <c r="G31" s="51">
        <f t="shared" si="6"/>
        <v>0</v>
      </c>
      <c r="H31" s="51">
        <f t="shared" si="6"/>
        <v>0</v>
      </c>
      <c r="I31" s="51">
        <f t="shared" si="6"/>
        <v>0</v>
      </c>
      <c r="J31" s="51">
        <f t="shared" si="6"/>
        <v>0</v>
      </c>
      <c r="K31" s="51">
        <f t="shared" si="6"/>
        <v>0</v>
      </c>
      <c r="L31" s="51">
        <f t="shared" si="6"/>
        <v>0</v>
      </c>
      <c r="M31" s="51">
        <f t="shared" si="6"/>
        <v>0</v>
      </c>
      <c r="N31" s="51">
        <f t="shared" si="6"/>
        <v>0</v>
      </c>
      <c r="O31" s="51">
        <f t="shared" si="6"/>
        <v>0</v>
      </c>
      <c r="P31" s="51">
        <f t="shared" si="6"/>
        <v>0</v>
      </c>
      <c r="Q31" s="51">
        <f t="shared" si="6"/>
        <v>0</v>
      </c>
      <c r="R31" s="51">
        <f t="shared" si="6"/>
        <v>0</v>
      </c>
      <c r="S31" s="51">
        <f t="shared" si="6"/>
        <v>0</v>
      </c>
      <c r="T31" s="51">
        <f t="shared" si="6"/>
        <v>0</v>
      </c>
      <c r="U31" s="51">
        <f t="shared" si="6"/>
        <v>0</v>
      </c>
      <c r="V31" s="51">
        <f t="shared" si="6"/>
        <v>0</v>
      </c>
      <c r="W31" s="51">
        <f t="shared" si="6"/>
        <v>0</v>
      </c>
      <c r="X31" s="51">
        <f t="shared" si="6"/>
        <v>0</v>
      </c>
      <c r="Y31" s="51">
        <f t="shared" si="6"/>
        <v>0</v>
      </c>
      <c r="Z31" s="51">
        <f t="shared" si="6"/>
        <v>0</v>
      </c>
      <c r="AA31" s="51">
        <f t="shared" si="6"/>
        <v>0</v>
      </c>
      <c r="AB31" s="51">
        <f t="shared" si="6"/>
        <v>0</v>
      </c>
      <c r="AC31" s="51">
        <f t="shared" si="6"/>
        <v>0</v>
      </c>
      <c r="AD31" s="51">
        <f t="shared" si="6"/>
        <v>0</v>
      </c>
      <c r="AE31" s="51">
        <f t="shared" si="6"/>
        <v>0</v>
      </c>
      <c r="AF31" s="51">
        <f t="shared" si="6"/>
        <v>24.1</v>
      </c>
      <c r="AG31" s="51">
        <f t="shared" si="6"/>
        <v>208.3</v>
      </c>
      <c r="AH31" s="51">
        <f t="shared" si="6"/>
        <v>243.303</v>
      </c>
      <c r="AI31" s="51">
        <f t="shared" si="6"/>
        <v>569.90300000000002</v>
      </c>
      <c r="AJ31" s="51">
        <f t="shared" si="6"/>
        <v>569.90300000000002</v>
      </c>
      <c r="AK31" s="51">
        <f t="shared" si="6"/>
        <v>569.90300000000002</v>
      </c>
      <c r="AL31" s="51">
        <f t="shared" si="6"/>
        <v>569.90300000000002</v>
      </c>
      <c r="AM31" s="51">
        <f t="shared" si="6"/>
        <v>569.90300000000002</v>
      </c>
      <c r="AN31" s="51">
        <f t="shared" si="6"/>
        <v>569.90300000000002</v>
      </c>
      <c r="AO31" s="51">
        <f t="shared" si="6"/>
        <v>569.90300000000002</v>
      </c>
      <c r="AP31" s="51">
        <f t="shared" si="6"/>
        <v>569.90300000000002</v>
      </c>
      <c r="AQ31" s="51">
        <f t="shared" si="6"/>
        <v>569.90300000000002</v>
      </c>
      <c r="AR31" s="51">
        <f t="shared" si="6"/>
        <v>569.90300000000002</v>
      </c>
      <c r="AS31" s="51">
        <f t="shared" si="6"/>
        <v>569.90300000000002</v>
      </c>
      <c r="AT31" s="51">
        <f t="shared" si="6"/>
        <v>569.90300000000002</v>
      </c>
      <c r="AU31" s="51">
        <f t="shared" si="6"/>
        <v>569.90300000000002</v>
      </c>
      <c r="AV31" s="51">
        <f t="shared" si="6"/>
        <v>569.90300000000002</v>
      </c>
      <c r="AW31" s="51">
        <f t="shared" si="6"/>
        <v>569.90300000000002</v>
      </c>
      <c r="AX31" s="51">
        <f t="shared" si="6"/>
        <v>569.90300000000002</v>
      </c>
      <c r="AY31" s="51">
        <f t="shared" si="6"/>
        <v>569.90300000000002</v>
      </c>
      <c r="AZ31" s="51">
        <f t="shared" si="6"/>
        <v>569.90300000000002</v>
      </c>
      <c r="BA31" s="51">
        <f t="shared" si="6"/>
        <v>569.90300000000002</v>
      </c>
      <c r="BB31" s="51">
        <f t="shared" si="6"/>
        <v>569.90300000000002</v>
      </c>
      <c r="BC31" s="51">
        <f t="shared" si="6"/>
        <v>569.90300000000002</v>
      </c>
      <c r="BD31" s="51">
        <f t="shared" si="6"/>
        <v>569.90300000000002</v>
      </c>
      <c r="BE31" s="51">
        <f t="shared" si="6"/>
        <v>569.90300000000002</v>
      </c>
      <c r="BF31" s="51">
        <f t="shared" si="6"/>
        <v>569.90300000000002</v>
      </c>
      <c r="BG31" s="51">
        <f t="shared" si="6"/>
        <v>569.90300000000002</v>
      </c>
      <c r="BH31" s="51">
        <f t="shared" si="6"/>
        <v>569.90300000000002</v>
      </c>
      <c r="BI31" s="51">
        <f t="shared" si="6"/>
        <v>569.90300000000002</v>
      </c>
      <c r="BJ31" s="51">
        <f t="shared" si="6"/>
        <v>569.90300000000002</v>
      </c>
      <c r="BK31" s="51">
        <f t="shared" si="6"/>
        <v>569.90300000000002</v>
      </c>
      <c r="BL31" s="51">
        <f t="shared" si="6"/>
        <v>569.90300000000002</v>
      </c>
      <c r="BM31" s="51">
        <f t="shared" si="6"/>
        <v>569.90300000000002</v>
      </c>
      <c r="BN31" s="51">
        <f t="shared" si="6"/>
        <v>569.90300000000002</v>
      </c>
    </row>
    <row r="32" spans="1:66" x14ac:dyDescent="0.35">
      <c r="B32" t="str">
        <f t="shared" si="3"/>
        <v>RM6</v>
      </c>
      <c r="D32" s="51">
        <f t="shared" ref="D32:BN32" si="7">IF(D18&gt;C18,MAX(D18,C32),C32)</f>
        <v>0</v>
      </c>
      <c r="E32" s="51">
        <f t="shared" si="7"/>
        <v>0</v>
      </c>
      <c r="F32" s="51">
        <f t="shared" si="7"/>
        <v>0</v>
      </c>
      <c r="G32" s="51">
        <f t="shared" si="7"/>
        <v>0</v>
      </c>
      <c r="H32" s="51">
        <f t="shared" si="7"/>
        <v>0</v>
      </c>
      <c r="I32" s="51">
        <f t="shared" si="7"/>
        <v>0</v>
      </c>
      <c r="J32" s="51">
        <f t="shared" si="7"/>
        <v>0</v>
      </c>
      <c r="K32" s="51">
        <f t="shared" si="7"/>
        <v>33.869</v>
      </c>
      <c r="L32" s="51">
        <f t="shared" si="7"/>
        <v>78.697000000000003</v>
      </c>
      <c r="M32" s="51">
        <f t="shared" si="7"/>
        <v>129.40700000000001</v>
      </c>
      <c r="N32" s="51">
        <f t="shared" si="7"/>
        <v>241.43900000000002</v>
      </c>
      <c r="O32" s="51">
        <f t="shared" si="7"/>
        <v>433.27699999999999</v>
      </c>
      <c r="P32" s="51">
        <f t="shared" si="7"/>
        <v>509.03999999999996</v>
      </c>
      <c r="Q32" s="51">
        <f t="shared" si="7"/>
        <v>543.51400000000001</v>
      </c>
      <c r="R32" s="51">
        <f t="shared" si="7"/>
        <v>601.03399999999999</v>
      </c>
      <c r="S32" s="51">
        <f t="shared" si="7"/>
        <v>657.9899999999999</v>
      </c>
      <c r="T32" s="51">
        <f t="shared" si="7"/>
        <v>680.76199999999994</v>
      </c>
      <c r="U32" s="51">
        <f t="shared" si="7"/>
        <v>701.06399999999985</v>
      </c>
      <c r="V32" s="51">
        <f t="shared" si="7"/>
        <v>701.06399999999985</v>
      </c>
      <c r="W32" s="51">
        <f t="shared" si="7"/>
        <v>725.3119999999999</v>
      </c>
      <c r="X32" s="51">
        <f t="shared" si="7"/>
        <v>759.93</v>
      </c>
      <c r="Y32" s="51">
        <f t="shared" si="7"/>
        <v>825.22</v>
      </c>
      <c r="Z32" s="51">
        <f t="shared" si="7"/>
        <v>860.49299999999994</v>
      </c>
      <c r="AA32" s="51">
        <f t="shared" si="7"/>
        <v>860.49299999999994</v>
      </c>
      <c r="AB32" s="51">
        <f t="shared" si="7"/>
        <v>860.49299999999994</v>
      </c>
      <c r="AC32" s="51">
        <f t="shared" si="7"/>
        <v>895.03099999999995</v>
      </c>
      <c r="AD32" s="51">
        <f t="shared" si="7"/>
        <v>895.03099999999995</v>
      </c>
      <c r="AE32" s="51">
        <f t="shared" si="7"/>
        <v>895.03099999999995</v>
      </c>
      <c r="AF32" s="51">
        <f t="shared" si="7"/>
        <v>1180.752</v>
      </c>
      <c r="AG32" s="51">
        <f t="shared" si="7"/>
        <v>1213.4450000000002</v>
      </c>
      <c r="AH32" s="51">
        <f t="shared" si="7"/>
        <v>1331.3100000000002</v>
      </c>
      <c r="AI32" s="51">
        <f t="shared" si="7"/>
        <v>1331.3100000000002</v>
      </c>
      <c r="AJ32" s="51">
        <f t="shared" si="7"/>
        <v>1331.3100000000002</v>
      </c>
      <c r="AK32" s="51">
        <f t="shared" si="7"/>
        <v>1331.3100000000002</v>
      </c>
      <c r="AL32" s="51">
        <f t="shared" si="7"/>
        <v>1331.3100000000002</v>
      </c>
      <c r="AM32" s="51">
        <f t="shared" si="7"/>
        <v>1331.3100000000002</v>
      </c>
      <c r="AN32" s="51">
        <f t="shared" si="7"/>
        <v>1331.3100000000002</v>
      </c>
      <c r="AO32" s="51">
        <f t="shared" si="7"/>
        <v>1331.3100000000002</v>
      </c>
      <c r="AP32" s="51">
        <f t="shared" si="7"/>
        <v>1331.3100000000002</v>
      </c>
      <c r="AQ32" s="51">
        <f t="shared" si="7"/>
        <v>1331.3100000000002</v>
      </c>
      <c r="AR32" s="51">
        <f t="shared" si="7"/>
        <v>1331.3100000000002</v>
      </c>
      <c r="AS32" s="51">
        <f t="shared" si="7"/>
        <v>1331.3100000000002</v>
      </c>
      <c r="AT32" s="51">
        <f t="shared" si="7"/>
        <v>1331.3100000000002</v>
      </c>
      <c r="AU32" s="51">
        <f t="shared" si="7"/>
        <v>1331.3100000000002</v>
      </c>
      <c r="AV32" s="51">
        <f t="shared" si="7"/>
        <v>1331.3100000000002</v>
      </c>
      <c r="AW32" s="51">
        <f t="shared" si="7"/>
        <v>1331.3100000000002</v>
      </c>
      <c r="AX32" s="51">
        <f t="shared" si="7"/>
        <v>1331.3100000000002</v>
      </c>
      <c r="AY32" s="51">
        <f t="shared" si="7"/>
        <v>1331.3100000000002</v>
      </c>
      <c r="AZ32" s="51">
        <f t="shared" si="7"/>
        <v>1331.3100000000002</v>
      </c>
      <c r="BA32" s="51">
        <f t="shared" si="7"/>
        <v>1331.3100000000002</v>
      </c>
      <c r="BB32" s="51">
        <f t="shared" si="7"/>
        <v>1331.3100000000002</v>
      </c>
      <c r="BC32" s="51">
        <f t="shared" si="7"/>
        <v>1331.3100000000002</v>
      </c>
      <c r="BD32" s="51">
        <f t="shared" si="7"/>
        <v>1331.3100000000002</v>
      </c>
      <c r="BE32" s="51">
        <f t="shared" si="7"/>
        <v>1331.3100000000002</v>
      </c>
      <c r="BF32" s="51">
        <f t="shared" si="7"/>
        <v>1331.3100000000002</v>
      </c>
      <c r="BG32" s="51">
        <f t="shared" si="7"/>
        <v>1331.3100000000002</v>
      </c>
      <c r="BH32" s="51">
        <f t="shared" si="7"/>
        <v>1331.3100000000002</v>
      </c>
      <c r="BI32" s="51">
        <f t="shared" si="7"/>
        <v>1331.3100000000002</v>
      </c>
      <c r="BJ32" s="51">
        <f t="shared" si="7"/>
        <v>1331.3100000000002</v>
      </c>
      <c r="BK32" s="51">
        <f t="shared" si="7"/>
        <v>1331.3100000000002</v>
      </c>
      <c r="BL32" s="51">
        <f t="shared" si="7"/>
        <v>1331.3100000000002</v>
      </c>
      <c r="BM32" s="51">
        <f t="shared" si="7"/>
        <v>1331.3100000000002</v>
      </c>
      <c r="BN32" s="51">
        <f t="shared" si="7"/>
        <v>1331.3100000000002</v>
      </c>
    </row>
    <row r="33" spans="1:66" x14ac:dyDescent="0.35">
      <c r="B33" t="str">
        <f t="shared" si="3"/>
        <v>RM7</v>
      </c>
      <c r="D33" s="51">
        <f t="shared" ref="D33:BN33" si="8">IF(D19&gt;C19,MAX(D19,C33),C33)</f>
        <v>0</v>
      </c>
      <c r="E33" s="51">
        <f t="shared" si="8"/>
        <v>0</v>
      </c>
      <c r="F33" s="51">
        <f t="shared" si="8"/>
        <v>0</v>
      </c>
      <c r="G33" s="51">
        <f t="shared" si="8"/>
        <v>0</v>
      </c>
      <c r="H33" s="51">
        <f t="shared" si="8"/>
        <v>0</v>
      </c>
      <c r="I33" s="51">
        <f t="shared" si="8"/>
        <v>0</v>
      </c>
      <c r="J33" s="51">
        <f t="shared" si="8"/>
        <v>0</v>
      </c>
      <c r="K33" s="51">
        <f t="shared" si="8"/>
        <v>0</v>
      </c>
      <c r="L33" s="51">
        <f t="shared" si="8"/>
        <v>0</v>
      </c>
      <c r="M33" s="51">
        <f t="shared" si="8"/>
        <v>0</v>
      </c>
      <c r="N33" s="51">
        <f t="shared" si="8"/>
        <v>0</v>
      </c>
      <c r="O33" s="51">
        <f t="shared" si="8"/>
        <v>0</v>
      </c>
      <c r="P33" s="51">
        <f t="shared" si="8"/>
        <v>0</v>
      </c>
      <c r="Q33" s="51">
        <f t="shared" si="8"/>
        <v>0</v>
      </c>
      <c r="R33" s="51">
        <f t="shared" si="8"/>
        <v>0</v>
      </c>
      <c r="S33" s="51">
        <f t="shared" si="8"/>
        <v>0</v>
      </c>
      <c r="T33" s="51">
        <f t="shared" si="8"/>
        <v>0</v>
      </c>
      <c r="U33" s="51">
        <f t="shared" si="8"/>
        <v>0</v>
      </c>
      <c r="V33" s="51">
        <f t="shared" si="8"/>
        <v>0</v>
      </c>
      <c r="W33" s="51">
        <f t="shared" si="8"/>
        <v>0</v>
      </c>
      <c r="X33" s="51">
        <f t="shared" si="8"/>
        <v>0</v>
      </c>
      <c r="Y33" s="51">
        <f t="shared" si="8"/>
        <v>0</v>
      </c>
      <c r="Z33" s="51">
        <f t="shared" si="8"/>
        <v>0</v>
      </c>
      <c r="AA33" s="51">
        <f t="shared" si="8"/>
        <v>0</v>
      </c>
      <c r="AB33" s="51">
        <f t="shared" si="8"/>
        <v>0</v>
      </c>
      <c r="AC33" s="51">
        <f t="shared" si="8"/>
        <v>0</v>
      </c>
      <c r="AD33" s="51">
        <f t="shared" si="8"/>
        <v>0</v>
      </c>
      <c r="AE33" s="51">
        <f t="shared" si="8"/>
        <v>0</v>
      </c>
      <c r="AF33" s="51">
        <f t="shared" si="8"/>
        <v>0</v>
      </c>
      <c r="AG33" s="51">
        <f t="shared" si="8"/>
        <v>0</v>
      </c>
      <c r="AH33" s="51">
        <f t="shared" si="8"/>
        <v>0</v>
      </c>
      <c r="AI33" s="51">
        <f t="shared" si="8"/>
        <v>314</v>
      </c>
      <c r="AJ33" s="51">
        <f t="shared" si="8"/>
        <v>314</v>
      </c>
      <c r="AK33" s="51">
        <f t="shared" si="8"/>
        <v>314</v>
      </c>
      <c r="AL33" s="51">
        <f t="shared" si="8"/>
        <v>314</v>
      </c>
      <c r="AM33" s="51">
        <f t="shared" si="8"/>
        <v>314</v>
      </c>
      <c r="AN33" s="51">
        <f t="shared" si="8"/>
        <v>314</v>
      </c>
      <c r="AO33" s="51">
        <f t="shared" si="8"/>
        <v>314</v>
      </c>
      <c r="AP33" s="51">
        <f t="shared" si="8"/>
        <v>338</v>
      </c>
      <c r="AQ33" s="51">
        <f t="shared" si="8"/>
        <v>449</v>
      </c>
      <c r="AR33" s="51">
        <f t="shared" si="8"/>
        <v>477.00299999999999</v>
      </c>
      <c r="AS33" s="51">
        <f t="shared" si="8"/>
        <v>569.90300000000002</v>
      </c>
      <c r="AT33" s="51">
        <f t="shared" si="8"/>
        <v>569.90300000000002</v>
      </c>
      <c r="AU33" s="51">
        <f t="shared" si="8"/>
        <v>569.90300000000002</v>
      </c>
      <c r="AV33" s="51">
        <f t="shared" si="8"/>
        <v>569.90300000000002</v>
      </c>
      <c r="AW33" s="51">
        <f t="shared" si="8"/>
        <v>569.90300000000002</v>
      </c>
      <c r="AX33" s="51">
        <f t="shared" si="8"/>
        <v>569.90300000000002</v>
      </c>
      <c r="AY33" s="51">
        <f t="shared" si="8"/>
        <v>569.90300000000002</v>
      </c>
      <c r="AZ33" s="51">
        <f t="shared" si="8"/>
        <v>569.90300000000002</v>
      </c>
      <c r="BA33" s="51">
        <f t="shared" si="8"/>
        <v>569.90300000000002</v>
      </c>
      <c r="BB33" s="51">
        <f t="shared" si="8"/>
        <v>569.90300000000002</v>
      </c>
      <c r="BC33" s="51">
        <f t="shared" si="8"/>
        <v>569.90300000000002</v>
      </c>
      <c r="BD33" s="51">
        <f t="shared" si="8"/>
        <v>569.90300000000002</v>
      </c>
      <c r="BE33" s="51">
        <f t="shared" si="8"/>
        <v>569.90300000000002</v>
      </c>
      <c r="BF33" s="51">
        <f t="shared" si="8"/>
        <v>569.90300000000002</v>
      </c>
      <c r="BG33" s="51">
        <f t="shared" si="8"/>
        <v>569.90300000000002</v>
      </c>
      <c r="BH33" s="51">
        <f t="shared" si="8"/>
        <v>569.90300000000002</v>
      </c>
      <c r="BI33" s="51">
        <f t="shared" si="8"/>
        <v>569.90300000000002</v>
      </c>
      <c r="BJ33" s="51">
        <f t="shared" si="8"/>
        <v>569.90300000000002</v>
      </c>
      <c r="BK33" s="51">
        <f t="shared" si="8"/>
        <v>569.90300000000002</v>
      </c>
      <c r="BL33" s="51">
        <f t="shared" si="8"/>
        <v>569.90300000000002</v>
      </c>
      <c r="BM33" s="51">
        <f t="shared" si="8"/>
        <v>569.90300000000002</v>
      </c>
      <c r="BN33" s="51">
        <f t="shared" si="8"/>
        <v>569.90300000000002</v>
      </c>
    </row>
    <row r="34" spans="1:66" x14ac:dyDescent="0.35">
      <c r="B34" t="str">
        <f t="shared" si="3"/>
        <v>RM8</v>
      </c>
      <c r="D34" s="51">
        <f t="shared" ref="D34:BN34" si="9">IF(D20&gt;C20,MAX(D20,C34),C34)</f>
        <v>0</v>
      </c>
      <c r="E34" s="51">
        <f t="shared" si="9"/>
        <v>0</v>
      </c>
      <c r="F34" s="51">
        <f t="shared" si="9"/>
        <v>0</v>
      </c>
      <c r="G34" s="51">
        <f t="shared" si="9"/>
        <v>0</v>
      </c>
      <c r="H34" s="51">
        <f t="shared" si="9"/>
        <v>0</v>
      </c>
      <c r="I34" s="51">
        <f t="shared" si="9"/>
        <v>0</v>
      </c>
      <c r="J34" s="51">
        <f t="shared" si="9"/>
        <v>0</v>
      </c>
      <c r="K34" s="51">
        <f t="shared" si="9"/>
        <v>0</v>
      </c>
      <c r="L34" s="51">
        <f t="shared" si="9"/>
        <v>0</v>
      </c>
      <c r="M34" s="51">
        <f t="shared" si="9"/>
        <v>0</v>
      </c>
      <c r="N34" s="51">
        <f t="shared" si="9"/>
        <v>0</v>
      </c>
      <c r="O34" s="51">
        <f t="shared" si="9"/>
        <v>0</v>
      </c>
      <c r="P34" s="51">
        <f t="shared" si="9"/>
        <v>0</v>
      </c>
      <c r="Q34" s="51">
        <f t="shared" si="9"/>
        <v>0</v>
      </c>
      <c r="R34" s="51">
        <f t="shared" si="9"/>
        <v>0</v>
      </c>
      <c r="S34" s="51">
        <f t="shared" si="9"/>
        <v>0</v>
      </c>
      <c r="T34" s="51">
        <f t="shared" si="9"/>
        <v>0</v>
      </c>
      <c r="U34" s="51">
        <f t="shared" si="9"/>
        <v>0</v>
      </c>
      <c r="V34" s="51">
        <f t="shared" si="9"/>
        <v>0</v>
      </c>
      <c r="W34" s="51">
        <f t="shared" si="9"/>
        <v>0</v>
      </c>
      <c r="X34" s="51">
        <f t="shared" si="9"/>
        <v>0</v>
      </c>
      <c r="Y34" s="51">
        <f t="shared" si="9"/>
        <v>0</v>
      </c>
      <c r="Z34" s="51">
        <f t="shared" si="9"/>
        <v>0</v>
      </c>
      <c r="AA34" s="51">
        <f t="shared" si="9"/>
        <v>0</v>
      </c>
      <c r="AB34" s="51">
        <f t="shared" si="9"/>
        <v>0</v>
      </c>
      <c r="AC34" s="51">
        <f t="shared" si="9"/>
        <v>0</v>
      </c>
      <c r="AD34" s="51">
        <f t="shared" si="9"/>
        <v>0</v>
      </c>
      <c r="AE34" s="51">
        <f t="shared" si="9"/>
        <v>0</v>
      </c>
      <c r="AF34" s="51">
        <f t="shared" si="9"/>
        <v>0</v>
      </c>
      <c r="AG34" s="51">
        <f t="shared" si="9"/>
        <v>0</v>
      </c>
      <c r="AH34" s="51">
        <f t="shared" si="9"/>
        <v>40</v>
      </c>
      <c r="AI34" s="51">
        <f t="shared" si="9"/>
        <v>40</v>
      </c>
      <c r="AJ34" s="51">
        <f t="shared" si="9"/>
        <v>40</v>
      </c>
      <c r="AK34" s="51">
        <f t="shared" si="9"/>
        <v>40</v>
      </c>
      <c r="AL34" s="51">
        <f t="shared" si="9"/>
        <v>40</v>
      </c>
      <c r="AM34" s="51">
        <f t="shared" si="9"/>
        <v>182</v>
      </c>
      <c r="AN34" s="51">
        <f t="shared" si="9"/>
        <v>182</v>
      </c>
      <c r="AO34" s="51">
        <f t="shared" si="9"/>
        <v>182</v>
      </c>
      <c r="AP34" s="51">
        <f t="shared" si="9"/>
        <v>182</v>
      </c>
      <c r="AQ34" s="51">
        <f t="shared" si="9"/>
        <v>725</v>
      </c>
      <c r="AR34" s="51">
        <f t="shared" si="9"/>
        <v>725</v>
      </c>
      <c r="AS34" s="51">
        <f t="shared" si="9"/>
        <v>791</v>
      </c>
      <c r="AT34" s="51">
        <f t="shared" si="9"/>
        <v>791</v>
      </c>
      <c r="AU34" s="51">
        <f t="shared" si="9"/>
        <v>791</v>
      </c>
      <c r="AV34" s="51">
        <f t="shared" si="9"/>
        <v>791</v>
      </c>
      <c r="AW34" s="51">
        <f t="shared" si="9"/>
        <v>825</v>
      </c>
      <c r="AX34" s="51">
        <f t="shared" si="9"/>
        <v>825</v>
      </c>
      <c r="AY34" s="51">
        <f t="shared" si="9"/>
        <v>825</v>
      </c>
      <c r="AZ34" s="51">
        <f t="shared" si="9"/>
        <v>1004.1</v>
      </c>
      <c r="BA34" s="51">
        <f t="shared" si="9"/>
        <v>1004.1</v>
      </c>
      <c r="BB34" s="51">
        <f t="shared" si="9"/>
        <v>1331.3999999999999</v>
      </c>
      <c r="BC34" s="51">
        <f t="shared" si="9"/>
        <v>1331.3999999999999</v>
      </c>
      <c r="BD34" s="51">
        <f t="shared" si="9"/>
        <v>1331.3999999999999</v>
      </c>
      <c r="BE34" s="51">
        <f t="shared" si="9"/>
        <v>1331.3999999999999</v>
      </c>
      <c r="BF34" s="51">
        <f t="shared" si="9"/>
        <v>1331.3999999999999</v>
      </c>
      <c r="BG34" s="51">
        <f t="shared" si="9"/>
        <v>1331.3999999999999</v>
      </c>
      <c r="BH34" s="51">
        <f t="shared" si="9"/>
        <v>1331.3999999999999</v>
      </c>
      <c r="BI34" s="51">
        <f t="shared" si="9"/>
        <v>1331.3999999999999</v>
      </c>
      <c r="BJ34" s="51">
        <f t="shared" si="9"/>
        <v>1331.3999999999999</v>
      </c>
      <c r="BK34" s="51">
        <f t="shared" si="9"/>
        <v>1331.3999999999999</v>
      </c>
      <c r="BL34" s="51">
        <f t="shared" si="9"/>
        <v>1331.3999999999999</v>
      </c>
      <c r="BM34" s="51">
        <f t="shared" si="9"/>
        <v>1331.3999999999999</v>
      </c>
      <c r="BN34" s="51">
        <f t="shared" si="9"/>
        <v>1331.3999999999999</v>
      </c>
    </row>
    <row r="35" spans="1:66" x14ac:dyDescent="0.35">
      <c r="B35" t="str">
        <f t="shared" si="3"/>
        <v>RM9</v>
      </c>
      <c r="D35" s="51">
        <f t="shared" ref="D35:BN35" si="10">IF(D21&gt;C21,MAX(D21,C35),C35)</f>
        <v>0</v>
      </c>
      <c r="E35" s="51">
        <f t="shared" si="10"/>
        <v>0</v>
      </c>
      <c r="F35" s="51">
        <f t="shared" si="10"/>
        <v>0</v>
      </c>
      <c r="G35" s="51">
        <f t="shared" si="10"/>
        <v>0</v>
      </c>
      <c r="H35" s="51">
        <f t="shared" si="10"/>
        <v>0</v>
      </c>
      <c r="I35" s="51">
        <f t="shared" si="10"/>
        <v>0</v>
      </c>
      <c r="J35" s="51">
        <f t="shared" si="10"/>
        <v>0</v>
      </c>
      <c r="K35" s="51">
        <f t="shared" si="10"/>
        <v>0</v>
      </c>
      <c r="L35" s="51">
        <f t="shared" si="10"/>
        <v>0</v>
      </c>
      <c r="M35" s="51">
        <f t="shared" si="10"/>
        <v>0</v>
      </c>
      <c r="N35" s="51">
        <f t="shared" si="10"/>
        <v>0</v>
      </c>
      <c r="O35" s="51">
        <f t="shared" si="10"/>
        <v>0</v>
      </c>
      <c r="P35" s="51">
        <f t="shared" si="10"/>
        <v>0</v>
      </c>
      <c r="Q35" s="51">
        <f t="shared" si="10"/>
        <v>0</v>
      </c>
      <c r="R35" s="51">
        <f t="shared" si="10"/>
        <v>0</v>
      </c>
      <c r="S35" s="51">
        <f t="shared" si="10"/>
        <v>0</v>
      </c>
      <c r="T35" s="51">
        <f t="shared" si="10"/>
        <v>0</v>
      </c>
      <c r="U35" s="51">
        <f t="shared" si="10"/>
        <v>0</v>
      </c>
      <c r="V35" s="51">
        <f t="shared" si="10"/>
        <v>0</v>
      </c>
      <c r="W35" s="51">
        <f t="shared" si="10"/>
        <v>0</v>
      </c>
      <c r="X35" s="51">
        <f t="shared" si="10"/>
        <v>0</v>
      </c>
      <c r="Y35" s="51">
        <f t="shared" si="10"/>
        <v>0</v>
      </c>
      <c r="Z35" s="51">
        <f t="shared" si="10"/>
        <v>0</v>
      </c>
      <c r="AA35" s="51">
        <f t="shared" si="10"/>
        <v>0</v>
      </c>
      <c r="AB35" s="51">
        <f t="shared" si="10"/>
        <v>0</v>
      </c>
      <c r="AC35" s="51">
        <f t="shared" si="10"/>
        <v>0</v>
      </c>
      <c r="AD35" s="51">
        <f t="shared" si="10"/>
        <v>0</v>
      </c>
      <c r="AE35" s="51">
        <f t="shared" si="10"/>
        <v>0</v>
      </c>
      <c r="AF35" s="51">
        <f t="shared" si="10"/>
        <v>0</v>
      </c>
      <c r="AG35" s="51">
        <f t="shared" si="10"/>
        <v>0</v>
      </c>
      <c r="AH35" s="51">
        <f t="shared" si="10"/>
        <v>0</v>
      </c>
      <c r="AI35" s="51">
        <f t="shared" si="10"/>
        <v>314</v>
      </c>
      <c r="AJ35" s="51">
        <f t="shared" si="10"/>
        <v>314</v>
      </c>
      <c r="AK35" s="51">
        <f t="shared" si="10"/>
        <v>314</v>
      </c>
      <c r="AL35" s="51">
        <f t="shared" si="10"/>
        <v>314</v>
      </c>
      <c r="AM35" s="51">
        <f t="shared" si="10"/>
        <v>314</v>
      </c>
      <c r="AN35" s="51">
        <f t="shared" si="10"/>
        <v>314</v>
      </c>
      <c r="AO35" s="51">
        <f t="shared" si="10"/>
        <v>314</v>
      </c>
      <c r="AP35" s="51">
        <f t="shared" si="10"/>
        <v>338</v>
      </c>
      <c r="AQ35" s="51">
        <f t="shared" si="10"/>
        <v>449</v>
      </c>
      <c r="AR35" s="51">
        <f t="shared" si="10"/>
        <v>477.00299999999999</v>
      </c>
      <c r="AS35" s="51">
        <f t="shared" si="10"/>
        <v>569.90300000000002</v>
      </c>
      <c r="AT35" s="51">
        <f t="shared" si="10"/>
        <v>569.90300000000002</v>
      </c>
      <c r="AU35" s="51">
        <f t="shared" si="10"/>
        <v>569.90300000000002</v>
      </c>
      <c r="AV35" s="51">
        <f t="shared" si="10"/>
        <v>569.90300000000002</v>
      </c>
      <c r="AW35" s="51">
        <f t="shared" si="10"/>
        <v>569.90300000000002</v>
      </c>
      <c r="AX35" s="51">
        <f t="shared" si="10"/>
        <v>569.90300000000002</v>
      </c>
      <c r="AY35" s="51">
        <f t="shared" si="10"/>
        <v>569.90300000000002</v>
      </c>
      <c r="AZ35" s="51">
        <f t="shared" si="10"/>
        <v>569.90300000000002</v>
      </c>
      <c r="BA35" s="51">
        <f t="shared" si="10"/>
        <v>569.90300000000002</v>
      </c>
      <c r="BB35" s="51">
        <f t="shared" si="10"/>
        <v>569.90300000000002</v>
      </c>
      <c r="BC35" s="51">
        <f t="shared" si="10"/>
        <v>569.90300000000002</v>
      </c>
      <c r="BD35" s="51">
        <f t="shared" si="10"/>
        <v>569.90300000000002</v>
      </c>
      <c r="BE35" s="51">
        <f t="shared" si="10"/>
        <v>569.90300000000002</v>
      </c>
      <c r="BF35" s="51">
        <f t="shared" si="10"/>
        <v>569.90300000000002</v>
      </c>
      <c r="BG35" s="51">
        <f t="shared" si="10"/>
        <v>569.90300000000002</v>
      </c>
      <c r="BH35" s="51">
        <f t="shared" si="10"/>
        <v>569.90300000000002</v>
      </c>
      <c r="BI35" s="51">
        <f t="shared" si="10"/>
        <v>569.90300000000002</v>
      </c>
      <c r="BJ35" s="51">
        <f t="shared" si="10"/>
        <v>569.90300000000002</v>
      </c>
      <c r="BK35" s="51">
        <f t="shared" si="10"/>
        <v>569.90300000000002</v>
      </c>
      <c r="BL35" s="51">
        <f t="shared" si="10"/>
        <v>569.90300000000002</v>
      </c>
      <c r="BM35" s="51">
        <f t="shared" si="10"/>
        <v>569.90300000000002</v>
      </c>
      <c r="BN35" s="51">
        <f t="shared" si="10"/>
        <v>569.90300000000002</v>
      </c>
    </row>
    <row r="36" spans="1:66" x14ac:dyDescent="0.35">
      <c r="B36" t="str">
        <f t="shared" si="3"/>
        <v>RM10</v>
      </c>
      <c r="D36" s="51">
        <f t="shared" ref="D36:BN36" si="11">IF(D22&gt;C22,MAX(D22,C36),C36)</f>
        <v>0</v>
      </c>
      <c r="E36" s="51">
        <f t="shared" si="11"/>
        <v>0</v>
      </c>
      <c r="F36" s="51">
        <f t="shared" si="11"/>
        <v>0</v>
      </c>
      <c r="G36" s="51">
        <f t="shared" si="11"/>
        <v>0</v>
      </c>
      <c r="H36" s="51">
        <f t="shared" si="11"/>
        <v>0</v>
      </c>
      <c r="I36" s="51">
        <f t="shared" si="11"/>
        <v>0</v>
      </c>
      <c r="J36" s="51">
        <f t="shared" si="11"/>
        <v>0</v>
      </c>
      <c r="K36" s="51">
        <f t="shared" si="11"/>
        <v>0</v>
      </c>
      <c r="L36" s="51">
        <f t="shared" si="11"/>
        <v>0</v>
      </c>
      <c r="M36" s="51">
        <f t="shared" si="11"/>
        <v>0</v>
      </c>
      <c r="N36" s="51">
        <f t="shared" si="11"/>
        <v>0</v>
      </c>
      <c r="O36" s="51">
        <f t="shared" si="11"/>
        <v>0</v>
      </c>
      <c r="P36" s="51">
        <f t="shared" si="11"/>
        <v>0</v>
      </c>
      <c r="Q36" s="51">
        <f t="shared" si="11"/>
        <v>0</v>
      </c>
      <c r="R36" s="51">
        <f t="shared" si="11"/>
        <v>0</v>
      </c>
      <c r="S36" s="51">
        <f t="shared" si="11"/>
        <v>0</v>
      </c>
      <c r="T36" s="51">
        <f t="shared" si="11"/>
        <v>0</v>
      </c>
      <c r="U36" s="51">
        <f t="shared" si="11"/>
        <v>0</v>
      </c>
      <c r="V36" s="51">
        <f t="shared" si="11"/>
        <v>0</v>
      </c>
      <c r="W36" s="51">
        <f t="shared" si="11"/>
        <v>0</v>
      </c>
      <c r="X36" s="51">
        <f t="shared" si="11"/>
        <v>0</v>
      </c>
      <c r="Y36" s="51">
        <f t="shared" si="11"/>
        <v>0</v>
      </c>
      <c r="Z36" s="51">
        <f t="shared" si="11"/>
        <v>0</v>
      </c>
      <c r="AA36" s="51">
        <f t="shared" si="11"/>
        <v>0</v>
      </c>
      <c r="AB36" s="51">
        <f t="shared" si="11"/>
        <v>0</v>
      </c>
      <c r="AC36" s="51">
        <f t="shared" si="11"/>
        <v>0</v>
      </c>
      <c r="AD36" s="51">
        <f t="shared" si="11"/>
        <v>0</v>
      </c>
      <c r="AE36" s="51">
        <f t="shared" si="11"/>
        <v>0</v>
      </c>
      <c r="AF36" s="51">
        <f t="shared" si="11"/>
        <v>0</v>
      </c>
      <c r="AG36" s="51">
        <f t="shared" si="11"/>
        <v>0</v>
      </c>
      <c r="AH36" s="51">
        <f t="shared" si="11"/>
        <v>40</v>
      </c>
      <c r="AI36" s="51">
        <f t="shared" si="11"/>
        <v>40</v>
      </c>
      <c r="AJ36" s="51">
        <f t="shared" si="11"/>
        <v>40</v>
      </c>
      <c r="AK36" s="51">
        <f t="shared" si="11"/>
        <v>40</v>
      </c>
      <c r="AL36" s="51">
        <f t="shared" si="11"/>
        <v>40</v>
      </c>
      <c r="AM36" s="51">
        <f t="shared" si="11"/>
        <v>182</v>
      </c>
      <c r="AN36" s="51">
        <f t="shared" si="11"/>
        <v>182</v>
      </c>
      <c r="AO36" s="51">
        <f t="shared" si="11"/>
        <v>182</v>
      </c>
      <c r="AP36" s="51">
        <f t="shared" si="11"/>
        <v>182</v>
      </c>
      <c r="AQ36" s="51">
        <f t="shared" si="11"/>
        <v>725</v>
      </c>
      <c r="AR36" s="51">
        <f t="shared" si="11"/>
        <v>725</v>
      </c>
      <c r="AS36" s="51">
        <f t="shared" si="11"/>
        <v>791</v>
      </c>
      <c r="AT36" s="51">
        <f t="shared" si="11"/>
        <v>791</v>
      </c>
      <c r="AU36" s="51">
        <f t="shared" si="11"/>
        <v>791</v>
      </c>
      <c r="AV36" s="51">
        <f t="shared" si="11"/>
        <v>791</v>
      </c>
      <c r="AW36" s="51">
        <f t="shared" si="11"/>
        <v>825</v>
      </c>
      <c r="AX36" s="51">
        <f t="shared" si="11"/>
        <v>825</v>
      </c>
      <c r="AY36" s="51">
        <f t="shared" si="11"/>
        <v>825</v>
      </c>
      <c r="AZ36" s="51">
        <f t="shared" si="11"/>
        <v>1004.1</v>
      </c>
      <c r="BA36" s="51">
        <f t="shared" si="11"/>
        <v>1004.1</v>
      </c>
      <c r="BB36" s="51">
        <f t="shared" si="11"/>
        <v>1331.3999999999999</v>
      </c>
      <c r="BC36" s="51">
        <f t="shared" si="11"/>
        <v>1331.3999999999999</v>
      </c>
      <c r="BD36" s="51">
        <f t="shared" si="11"/>
        <v>1331.3999999999999</v>
      </c>
      <c r="BE36" s="51">
        <f t="shared" si="11"/>
        <v>1331.3999999999999</v>
      </c>
      <c r="BF36" s="51">
        <f t="shared" si="11"/>
        <v>1331.3999999999999</v>
      </c>
      <c r="BG36" s="51">
        <f t="shared" si="11"/>
        <v>1331.3999999999999</v>
      </c>
      <c r="BH36" s="51">
        <f t="shared" si="11"/>
        <v>1331.3999999999999</v>
      </c>
      <c r="BI36" s="51">
        <f t="shared" si="11"/>
        <v>1331.3999999999999</v>
      </c>
      <c r="BJ36" s="51">
        <f t="shared" si="11"/>
        <v>1331.3999999999999</v>
      </c>
      <c r="BK36" s="51">
        <f t="shared" si="11"/>
        <v>1331.3999999999999</v>
      </c>
      <c r="BL36" s="51">
        <f t="shared" si="11"/>
        <v>1331.3999999999999</v>
      </c>
      <c r="BM36" s="51">
        <f t="shared" si="11"/>
        <v>1331.3999999999999</v>
      </c>
      <c r="BN36" s="51">
        <f t="shared" si="11"/>
        <v>1331.3999999999999</v>
      </c>
    </row>
    <row r="37" spans="1:66" x14ac:dyDescent="0.35">
      <c r="B37" t="str">
        <f t="shared" si="3"/>
        <v>MM1</v>
      </c>
      <c r="D37" s="51">
        <f t="shared" ref="D37:BN37" si="12">IF(D23&gt;C23,MAX(D23,C37),C37)</f>
        <v>0</v>
      </c>
      <c r="E37" s="51">
        <f t="shared" si="12"/>
        <v>0</v>
      </c>
      <c r="F37" s="51">
        <f t="shared" si="12"/>
        <v>0</v>
      </c>
      <c r="G37" s="51">
        <f t="shared" si="12"/>
        <v>0</v>
      </c>
      <c r="H37" s="51">
        <f t="shared" si="12"/>
        <v>0</v>
      </c>
      <c r="I37" s="51">
        <f t="shared" si="12"/>
        <v>0</v>
      </c>
      <c r="J37" s="51">
        <f t="shared" si="12"/>
        <v>0</v>
      </c>
      <c r="K37" s="51">
        <f t="shared" si="12"/>
        <v>0</v>
      </c>
      <c r="L37" s="51">
        <f t="shared" si="12"/>
        <v>0</v>
      </c>
      <c r="M37" s="51">
        <f t="shared" si="12"/>
        <v>0</v>
      </c>
      <c r="N37" s="51">
        <f t="shared" si="12"/>
        <v>0</v>
      </c>
      <c r="O37" s="51">
        <f t="shared" si="12"/>
        <v>0</v>
      </c>
      <c r="P37" s="51">
        <f t="shared" si="12"/>
        <v>0</v>
      </c>
      <c r="Q37" s="51">
        <f t="shared" si="12"/>
        <v>0</v>
      </c>
      <c r="R37" s="51">
        <f t="shared" si="12"/>
        <v>0</v>
      </c>
      <c r="S37" s="51">
        <f t="shared" si="12"/>
        <v>0</v>
      </c>
      <c r="T37" s="51">
        <f t="shared" si="12"/>
        <v>0</v>
      </c>
      <c r="U37" s="51">
        <f t="shared" si="12"/>
        <v>0</v>
      </c>
      <c r="V37" s="51">
        <f t="shared" si="12"/>
        <v>0</v>
      </c>
      <c r="W37" s="51">
        <f t="shared" si="12"/>
        <v>0</v>
      </c>
      <c r="X37" s="51">
        <f t="shared" si="12"/>
        <v>0</v>
      </c>
      <c r="Y37" s="51">
        <f t="shared" si="12"/>
        <v>0</v>
      </c>
      <c r="Z37" s="51">
        <f t="shared" si="12"/>
        <v>0</v>
      </c>
      <c r="AA37" s="51">
        <f t="shared" si="12"/>
        <v>0</v>
      </c>
      <c r="AB37" s="51">
        <f t="shared" si="12"/>
        <v>0</v>
      </c>
      <c r="AC37" s="51">
        <f t="shared" si="12"/>
        <v>0</v>
      </c>
      <c r="AD37" s="51">
        <f t="shared" si="12"/>
        <v>0</v>
      </c>
      <c r="AE37" s="51">
        <f t="shared" si="12"/>
        <v>171.6</v>
      </c>
      <c r="AF37" s="51">
        <f t="shared" si="12"/>
        <v>171.6</v>
      </c>
      <c r="AG37" s="51">
        <f t="shared" si="12"/>
        <v>171.6</v>
      </c>
      <c r="AH37" s="51">
        <f t="shared" si="12"/>
        <v>171.6</v>
      </c>
      <c r="AI37" s="51">
        <f t="shared" si="12"/>
        <v>171.6</v>
      </c>
      <c r="AJ37" s="51">
        <f t="shared" si="12"/>
        <v>171.6</v>
      </c>
      <c r="AK37" s="51">
        <f t="shared" si="12"/>
        <v>171.6</v>
      </c>
      <c r="AL37" s="51">
        <f t="shared" si="12"/>
        <v>171.6</v>
      </c>
      <c r="AM37" s="51">
        <f t="shared" si="12"/>
        <v>171.6</v>
      </c>
      <c r="AN37" s="51">
        <f t="shared" si="12"/>
        <v>171.6</v>
      </c>
      <c r="AO37" s="51">
        <f t="shared" si="12"/>
        <v>171.6</v>
      </c>
      <c r="AP37" s="51">
        <f t="shared" si="12"/>
        <v>171.6</v>
      </c>
      <c r="AQ37" s="51">
        <f t="shared" si="12"/>
        <v>171.6</v>
      </c>
      <c r="AR37" s="51">
        <f t="shared" si="12"/>
        <v>171.6</v>
      </c>
      <c r="AS37" s="51">
        <f t="shared" si="12"/>
        <v>171.6</v>
      </c>
      <c r="AT37" s="51">
        <f t="shared" si="12"/>
        <v>171.6</v>
      </c>
      <c r="AU37" s="51">
        <f t="shared" si="12"/>
        <v>171.6</v>
      </c>
      <c r="AV37" s="51">
        <f t="shared" si="12"/>
        <v>171.6</v>
      </c>
      <c r="AW37" s="51">
        <f t="shared" si="12"/>
        <v>171.6</v>
      </c>
      <c r="AX37" s="51">
        <f t="shared" si="12"/>
        <v>171.6</v>
      </c>
      <c r="AY37" s="51">
        <f t="shared" si="12"/>
        <v>171.6</v>
      </c>
      <c r="AZ37" s="51">
        <f t="shared" si="12"/>
        <v>171.6</v>
      </c>
      <c r="BA37" s="51">
        <f t="shared" si="12"/>
        <v>171.6</v>
      </c>
      <c r="BB37" s="51">
        <f t="shared" si="12"/>
        <v>171.6</v>
      </c>
      <c r="BC37" s="51">
        <f t="shared" si="12"/>
        <v>171.6</v>
      </c>
      <c r="BD37" s="51">
        <f t="shared" si="12"/>
        <v>171.6</v>
      </c>
      <c r="BE37" s="51">
        <f t="shared" si="12"/>
        <v>171.6</v>
      </c>
      <c r="BF37" s="51">
        <f t="shared" si="12"/>
        <v>171.6</v>
      </c>
      <c r="BG37" s="51">
        <f t="shared" si="12"/>
        <v>171.6</v>
      </c>
      <c r="BH37" s="51">
        <f t="shared" si="12"/>
        <v>171.6</v>
      </c>
      <c r="BI37" s="51">
        <f t="shared" si="12"/>
        <v>171.6</v>
      </c>
      <c r="BJ37" s="51">
        <f t="shared" si="12"/>
        <v>171.6</v>
      </c>
      <c r="BK37" s="51">
        <f t="shared" si="12"/>
        <v>171.6</v>
      </c>
      <c r="BL37" s="51">
        <f t="shared" si="12"/>
        <v>171.6</v>
      </c>
      <c r="BM37" s="51">
        <f t="shared" si="12"/>
        <v>171.6</v>
      </c>
      <c r="BN37" s="51">
        <f t="shared" si="12"/>
        <v>171.6</v>
      </c>
    </row>
    <row r="38" spans="1:66" x14ac:dyDescent="0.35">
      <c r="B38" t="str">
        <f t="shared" si="3"/>
        <v>MM2</v>
      </c>
      <c r="D38" s="51">
        <f t="shared" ref="D38:BN38" si="13">IF(D24&gt;C24,MAX(D24,C38),C38)</f>
        <v>0</v>
      </c>
      <c r="E38" s="51">
        <f t="shared" si="13"/>
        <v>0</v>
      </c>
      <c r="F38" s="51">
        <f t="shared" si="13"/>
        <v>0</v>
      </c>
      <c r="G38" s="51">
        <f t="shared" si="13"/>
        <v>0</v>
      </c>
      <c r="H38" s="51">
        <f t="shared" si="13"/>
        <v>0</v>
      </c>
      <c r="I38" s="51">
        <f t="shared" si="13"/>
        <v>0</v>
      </c>
      <c r="J38" s="51">
        <f t="shared" si="13"/>
        <v>0</v>
      </c>
      <c r="K38" s="51">
        <f t="shared" si="13"/>
        <v>0</v>
      </c>
      <c r="L38" s="51">
        <f t="shared" si="13"/>
        <v>0</v>
      </c>
      <c r="M38" s="51">
        <f t="shared" si="13"/>
        <v>0</v>
      </c>
      <c r="N38" s="51">
        <f t="shared" si="13"/>
        <v>0</v>
      </c>
      <c r="O38" s="51">
        <f t="shared" si="13"/>
        <v>0</v>
      </c>
      <c r="P38" s="51">
        <f t="shared" si="13"/>
        <v>0</v>
      </c>
      <c r="Q38" s="51">
        <f t="shared" si="13"/>
        <v>0</v>
      </c>
      <c r="R38" s="51">
        <f t="shared" si="13"/>
        <v>0</v>
      </c>
      <c r="S38" s="51">
        <f t="shared" si="13"/>
        <v>0</v>
      </c>
      <c r="T38" s="51">
        <f t="shared" si="13"/>
        <v>0</v>
      </c>
      <c r="U38" s="51">
        <f t="shared" si="13"/>
        <v>0</v>
      </c>
      <c r="V38" s="51">
        <f t="shared" si="13"/>
        <v>0</v>
      </c>
      <c r="W38" s="51">
        <f t="shared" si="13"/>
        <v>0</v>
      </c>
      <c r="X38" s="51">
        <f t="shared" si="13"/>
        <v>0</v>
      </c>
      <c r="Y38" s="51">
        <f t="shared" si="13"/>
        <v>0</v>
      </c>
      <c r="Z38" s="51">
        <f t="shared" si="13"/>
        <v>0</v>
      </c>
      <c r="AA38" s="51">
        <f t="shared" si="13"/>
        <v>0</v>
      </c>
      <c r="AB38" s="51">
        <f t="shared" si="13"/>
        <v>0</v>
      </c>
      <c r="AC38" s="51">
        <f t="shared" si="13"/>
        <v>0</v>
      </c>
      <c r="AD38" s="51">
        <f t="shared" si="13"/>
        <v>0</v>
      </c>
      <c r="AE38" s="51">
        <f t="shared" si="13"/>
        <v>171.6</v>
      </c>
      <c r="AF38" s="51">
        <f t="shared" si="13"/>
        <v>171.6</v>
      </c>
      <c r="AG38" s="51">
        <f t="shared" si="13"/>
        <v>171.6</v>
      </c>
      <c r="AH38" s="51">
        <f t="shared" si="13"/>
        <v>171.6</v>
      </c>
      <c r="AI38" s="51">
        <f t="shared" si="13"/>
        <v>171.6</v>
      </c>
      <c r="AJ38" s="51">
        <f t="shared" si="13"/>
        <v>171.6</v>
      </c>
      <c r="AK38" s="51">
        <f t="shared" si="13"/>
        <v>171.6</v>
      </c>
      <c r="AL38" s="51">
        <f t="shared" si="13"/>
        <v>171.6</v>
      </c>
      <c r="AM38" s="51">
        <f t="shared" si="13"/>
        <v>171.6</v>
      </c>
      <c r="AN38" s="51">
        <f t="shared" si="13"/>
        <v>171.6</v>
      </c>
      <c r="AO38" s="51">
        <f t="shared" si="13"/>
        <v>171.6</v>
      </c>
      <c r="AP38" s="51">
        <f t="shared" si="13"/>
        <v>171.6</v>
      </c>
      <c r="AQ38" s="51">
        <f t="shared" si="13"/>
        <v>171.6</v>
      </c>
      <c r="AR38" s="51">
        <f t="shared" si="13"/>
        <v>171.6</v>
      </c>
      <c r="AS38" s="51">
        <f t="shared" si="13"/>
        <v>171.6</v>
      </c>
      <c r="AT38" s="51">
        <f t="shared" si="13"/>
        <v>171.6</v>
      </c>
      <c r="AU38" s="51">
        <f t="shared" si="13"/>
        <v>171.6</v>
      </c>
      <c r="AV38" s="51">
        <f t="shared" si="13"/>
        <v>171.6</v>
      </c>
      <c r="AW38" s="51">
        <f t="shared" si="13"/>
        <v>171.6</v>
      </c>
      <c r="AX38" s="51">
        <f t="shared" si="13"/>
        <v>171.6</v>
      </c>
      <c r="AY38" s="51">
        <f t="shared" si="13"/>
        <v>171.6</v>
      </c>
      <c r="AZ38" s="51">
        <f t="shared" si="13"/>
        <v>171.6</v>
      </c>
      <c r="BA38" s="51">
        <f t="shared" si="13"/>
        <v>171.6</v>
      </c>
      <c r="BB38" s="51">
        <f t="shared" si="13"/>
        <v>171.6</v>
      </c>
      <c r="BC38" s="51">
        <f t="shared" si="13"/>
        <v>171.6</v>
      </c>
      <c r="BD38" s="51">
        <f t="shared" si="13"/>
        <v>171.6</v>
      </c>
      <c r="BE38" s="51">
        <f t="shared" si="13"/>
        <v>171.6</v>
      </c>
      <c r="BF38" s="51">
        <f t="shared" si="13"/>
        <v>171.6</v>
      </c>
      <c r="BG38" s="51">
        <f t="shared" si="13"/>
        <v>171.6</v>
      </c>
      <c r="BH38" s="51">
        <f t="shared" si="13"/>
        <v>171.6</v>
      </c>
      <c r="BI38" s="51">
        <f t="shared" si="13"/>
        <v>171.6</v>
      </c>
      <c r="BJ38" s="51">
        <f t="shared" si="13"/>
        <v>171.6</v>
      </c>
      <c r="BK38" s="51">
        <f t="shared" si="13"/>
        <v>171.6</v>
      </c>
      <c r="BL38" s="51">
        <f t="shared" si="13"/>
        <v>171.6</v>
      </c>
      <c r="BM38" s="51">
        <f t="shared" si="13"/>
        <v>171.6</v>
      </c>
      <c r="BN38" s="51">
        <f t="shared" si="13"/>
        <v>171.6</v>
      </c>
    </row>
    <row r="39" spans="1:66" x14ac:dyDescent="0.35">
      <c r="B39" t="str">
        <f t="shared" si="3"/>
        <v>MM3</v>
      </c>
      <c r="D39" s="51">
        <f t="shared" ref="D39:BN39" si="14">IF(D25&gt;C25,MAX(D25,C39),C39)</f>
        <v>0</v>
      </c>
      <c r="E39" s="51">
        <f t="shared" si="14"/>
        <v>0</v>
      </c>
      <c r="F39" s="51">
        <f t="shared" si="14"/>
        <v>0</v>
      </c>
      <c r="G39" s="51">
        <f t="shared" si="14"/>
        <v>0</v>
      </c>
      <c r="H39" s="51">
        <f t="shared" si="14"/>
        <v>0</v>
      </c>
      <c r="I39" s="51">
        <f t="shared" si="14"/>
        <v>0</v>
      </c>
      <c r="J39" s="51">
        <f t="shared" si="14"/>
        <v>0</v>
      </c>
      <c r="K39" s="51">
        <f t="shared" si="14"/>
        <v>0</v>
      </c>
      <c r="L39" s="51">
        <f t="shared" si="14"/>
        <v>0</v>
      </c>
      <c r="M39" s="51">
        <f t="shared" si="14"/>
        <v>0</v>
      </c>
      <c r="N39" s="51">
        <f t="shared" si="14"/>
        <v>0</v>
      </c>
      <c r="O39" s="51">
        <f t="shared" si="14"/>
        <v>0</v>
      </c>
      <c r="P39" s="51">
        <f t="shared" si="14"/>
        <v>0</v>
      </c>
      <c r="Q39" s="51">
        <f t="shared" si="14"/>
        <v>0</v>
      </c>
      <c r="R39" s="51">
        <f t="shared" si="14"/>
        <v>0</v>
      </c>
      <c r="S39" s="51">
        <f t="shared" si="14"/>
        <v>0</v>
      </c>
      <c r="T39" s="51">
        <f t="shared" si="14"/>
        <v>0</v>
      </c>
      <c r="U39" s="51">
        <f t="shared" si="14"/>
        <v>0</v>
      </c>
      <c r="V39" s="51">
        <f t="shared" si="14"/>
        <v>0</v>
      </c>
      <c r="W39" s="51">
        <f t="shared" si="14"/>
        <v>0</v>
      </c>
      <c r="X39" s="51">
        <f t="shared" si="14"/>
        <v>0</v>
      </c>
      <c r="Y39" s="51">
        <f t="shared" si="14"/>
        <v>0</v>
      </c>
      <c r="Z39" s="51">
        <f t="shared" si="14"/>
        <v>0</v>
      </c>
      <c r="AA39" s="51">
        <f t="shared" si="14"/>
        <v>0</v>
      </c>
      <c r="AB39" s="51">
        <f t="shared" si="14"/>
        <v>0</v>
      </c>
      <c r="AC39" s="51">
        <f t="shared" si="14"/>
        <v>0</v>
      </c>
      <c r="AD39" s="51">
        <f t="shared" si="14"/>
        <v>0</v>
      </c>
      <c r="AE39" s="51">
        <f t="shared" si="14"/>
        <v>0</v>
      </c>
      <c r="AF39" s="51">
        <f t="shared" si="14"/>
        <v>0</v>
      </c>
      <c r="AG39" s="51">
        <f t="shared" si="14"/>
        <v>171.6</v>
      </c>
      <c r="AH39" s="51">
        <f t="shared" si="14"/>
        <v>171.6</v>
      </c>
      <c r="AI39" s="51">
        <f t="shared" si="14"/>
        <v>171.6</v>
      </c>
      <c r="AJ39" s="51">
        <f t="shared" si="14"/>
        <v>171.6</v>
      </c>
      <c r="AK39" s="51">
        <f t="shared" si="14"/>
        <v>171.6</v>
      </c>
      <c r="AL39" s="51">
        <f t="shared" si="14"/>
        <v>171.6</v>
      </c>
      <c r="AM39" s="51">
        <f t="shared" si="14"/>
        <v>171.6</v>
      </c>
      <c r="AN39" s="51">
        <f t="shared" si="14"/>
        <v>171.6</v>
      </c>
      <c r="AO39" s="51">
        <f t="shared" si="14"/>
        <v>171.6</v>
      </c>
      <c r="AP39" s="51">
        <f t="shared" si="14"/>
        <v>171.6</v>
      </c>
      <c r="AQ39" s="51">
        <f t="shared" si="14"/>
        <v>171.6</v>
      </c>
      <c r="AR39" s="51">
        <f t="shared" si="14"/>
        <v>171.6</v>
      </c>
      <c r="AS39" s="51">
        <f t="shared" si="14"/>
        <v>171.6</v>
      </c>
      <c r="AT39" s="51">
        <f t="shared" si="14"/>
        <v>171.6</v>
      </c>
      <c r="AU39" s="51">
        <f t="shared" si="14"/>
        <v>171.6</v>
      </c>
      <c r="AV39" s="51">
        <f t="shared" si="14"/>
        <v>171.6</v>
      </c>
      <c r="AW39" s="51">
        <f t="shared" si="14"/>
        <v>171.6</v>
      </c>
      <c r="AX39" s="51">
        <f t="shared" si="14"/>
        <v>171.6</v>
      </c>
      <c r="AY39" s="51">
        <f t="shared" si="14"/>
        <v>171.6</v>
      </c>
      <c r="AZ39" s="51">
        <f t="shared" si="14"/>
        <v>171.6</v>
      </c>
      <c r="BA39" s="51">
        <f t="shared" si="14"/>
        <v>171.6</v>
      </c>
      <c r="BB39" s="51">
        <f t="shared" si="14"/>
        <v>171.6</v>
      </c>
      <c r="BC39" s="51">
        <f t="shared" si="14"/>
        <v>171.6</v>
      </c>
      <c r="BD39" s="51">
        <f t="shared" si="14"/>
        <v>171.6</v>
      </c>
      <c r="BE39" s="51">
        <f t="shared" si="14"/>
        <v>171.6</v>
      </c>
      <c r="BF39" s="51">
        <f t="shared" si="14"/>
        <v>171.6</v>
      </c>
      <c r="BG39" s="51">
        <f t="shared" si="14"/>
        <v>171.6</v>
      </c>
      <c r="BH39" s="51">
        <f t="shared" si="14"/>
        <v>171.6</v>
      </c>
      <c r="BI39" s="51">
        <f t="shared" si="14"/>
        <v>171.6</v>
      </c>
      <c r="BJ39" s="51">
        <f t="shared" si="14"/>
        <v>171.6</v>
      </c>
      <c r="BK39" s="51">
        <f t="shared" si="14"/>
        <v>171.6</v>
      </c>
      <c r="BL39" s="51">
        <f t="shared" si="14"/>
        <v>171.6</v>
      </c>
      <c r="BM39" s="51">
        <f t="shared" si="14"/>
        <v>171.6</v>
      </c>
      <c r="BN39" s="51">
        <f t="shared" si="14"/>
        <v>171.6</v>
      </c>
    </row>
    <row r="40" spans="1:66" x14ac:dyDescent="0.35">
      <c r="A40" s="2" t="s">
        <v>121</v>
      </c>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row>
    <row r="41" spans="1:66" x14ac:dyDescent="0.35">
      <c r="A41" t="s">
        <v>19</v>
      </c>
      <c r="D41" s="51">
        <f t="shared" ref="D41:AI41" si="15">SUM(D5:D9)+C41</f>
        <v>0</v>
      </c>
      <c r="E41" s="51">
        <f t="shared" si="15"/>
        <v>729.56120186411579</v>
      </c>
      <c r="F41" s="51">
        <f t="shared" si="15"/>
        <v>903.65681792167447</v>
      </c>
      <c r="G41" s="51">
        <f t="shared" si="15"/>
        <v>967.03631796255422</v>
      </c>
      <c r="H41" s="51">
        <f t="shared" si="15"/>
        <v>1198.0823657100809</v>
      </c>
      <c r="I41" s="51">
        <f t="shared" si="15"/>
        <v>1379.2096226800752</v>
      </c>
      <c r="J41" s="51">
        <f t="shared" si="15"/>
        <v>1410.3011949145614</v>
      </c>
      <c r="K41" s="51">
        <f t="shared" si="15"/>
        <v>1457.854619818494</v>
      </c>
      <c r="L41" s="51">
        <f t="shared" si="15"/>
        <v>1490.5185450903443</v>
      </c>
      <c r="M41" s="51">
        <f t="shared" si="15"/>
        <v>1519.6900887090183</v>
      </c>
      <c r="N41" s="51">
        <f t="shared" si="15"/>
        <v>1544.8985213801</v>
      </c>
      <c r="O41" s="51">
        <f t="shared" si="15"/>
        <v>1569.8715894039738</v>
      </c>
      <c r="P41" s="51">
        <f t="shared" si="15"/>
        <v>1743.7348311667079</v>
      </c>
      <c r="Q41" s="51">
        <f t="shared" si="15"/>
        <v>1946.8652644918652</v>
      </c>
      <c r="R41" s="51">
        <f t="shared" si="15"/>
        <v>1965.7784253127302</v>
      </c>
      <c r="S41" s="51">
        <f t="shared" si="15"/>
        <v>1995.4001892731585</v>
      </c>
      <c r="T41" s="51">
        <f t="shared" si="15"/>
        <v>2023.3470554329165</v>
      </c>
      <c r="U41" s="51">
        <f t="shared" si="15"/>
        <v>2058.4368968195572</v>
      </c>
      <c r="V41" s="51">
        <f t="shared" si="15"/>
        <v>2071.1944419916608</v>
      </c>
      <c r="W41" s="51">
        <f t="shared" si="15"/>
        <v>2072.8000000000002</v>
      </c>
      <c r="X41" s="51">
        <f t="shared" si="15"/>
        <v>2072.8000000000002</v>
      </c>
      <c r="Y41" s="51">
        <f t="shared" si="15"/>
        <v>2072.8000000000002</v>
      </c>
      <c r="Z41" s="51">
        <f t="shared" si="15"/>
        <v>2072.8000000000002</v>
      </c>
      <c r="AA41" s="51">
        <f t="shared" si="15"/>
        <v>2072.8000000000002</v>
      </c>
      <c r="AB41" s="51">
        <f t="shared" si="15"/>
        <v>2072.8000000000002</v>
      </c>
      <c r="AC41" s="51">
        <f t="shared" si="15"/>
        <v>2072.8000000000002</v>
      </c>
      <c r="AD41" s="51">
        <f t="shared" si="15"/>
        <v>2072.8000000000002</v>
      </c>
      <c r="AE41" s="51">
        <f t="shared" si="15"/>
        <v>2072.8000000000002</v>
      </c>
      <c r="AF41" s="51">
        <f t="shared" si="15"/>
        <v>2072.8000000000002</v>
      </c>
      <c r="AG41" s="51">
        <f t="shared" si="15"/>
        <v>2072.8000000000002</v>
      </c>
      <c r="AH41" s="51">
        <f t="shared" si="15"/>
        <v>2072.8000000000002</v>
      </c>
      <c r="AI41" s="51">
        <f t="shared" si="15"/>
        <v>2072.8000000000002</v>
      </c>
      <c r="AJ41" s="51">
        <f t="shared" ref="AJ41:BN41" si="16">SUM(AJ5:AJ9)+AI41</f>
        <v>2072.8000000000002</v>
      </c>
      <c r="AK41" s="51">
        <f t="shared" si="16"/>
        <v>2072.8000000000002</v>
      </c>
      <c r="AL41" s="51">
        <f t="shared" si="16"/>
        <v>2072.8000000000002</v>
      </c>
      <c r="AM41" s="51">
        <f t="shared" si="16"/>
        <v>2072.8000000000002</v>
      </c>
      <c r="AN41" s="51">
        <f t="shared" si="16"/>
        <v>2072.8000000000002</v>
      </c>
      <c r="AO41" s="51">
        <f t="shared" si="16"/>
        <v>2072.8000000000002</v>
      </c>
      <c r="AP41" s="51">
        <f t="shared" si="16"/>
        <v>2072.8000000000002</v>
      </c>
      <c r="AQ41" s="51">
        <f t="shared" si="16"/>
        <v>2072.8000000000002</v>
      </c>
      <c r="AR41" s="51">
        <f t="shared" si="16"/>
        <v>2072.8000000000002</v>
      </c>
      <c r="AS41" s="51">
        <f t="shared" si="16"/>
        <v>2072.8000000000002</v>
      </c>
      <c r="AT41" s="51">
        <f t="shared" si="16"/>
        <v>2072.8000000000002</v>
      </c>
      <c r="AU41" s="51">
        <f t="shared" si="16"/>
        <v>2072.8000000000002</v>
      </c>
      <c r="AV41" s="51">
        <f t="shared" si="16"/>
        <v>2072.8000000000002</v>
      </c>
      <c r="AW41" s="51">
        <f t="shared" si="16"/>
        <v>2072.8000000000002</v>
      </c>
      <c r="AX41" s="51">
        <f t="shared" si="16"/>
        <v>2072.8000000000002</v>
      </c>
      <c r="AY41" s="51">
        <f t="shared" si="16"/>
        <v>2072.8000000000002</v>
      </c>
      <c r="AZ41" s="51">
        <f t="shared" si="16"/>
        <v>2072.8000000000002</v>
      </c>
      <c r="BA41" s="51">
        <f t="shared" si="16"/>
        <v>2072.8000000000002</v>
      </c>
      <c r="BB41" s="51">
        <f t="shared" si="16"/>
        <v>2072.8000000000002</v>
      </c>
      <c r="BC41" s="51">
        <f t="shared" si="16"/>
        <v>2072.8000000000002</v>
      </c>
      <c r="BD41" s="51">
        <f t="shared" si="16"/>
        <v>2072.8000000000002</v>
      </c>
      <c r="BE41" s="51">
        <f t="shared" si="16"/>
        <v>2072.8000000000002</v>
      </c>
      <c r="BF41" s="51">
        <f t="shared" si="16"/>
        <v>2072.8000000000002</v>
      </c>
      <c r="BG41" s="51">
        <f t="shared" si="16"/>
        <v>2072.8000000000002</v>
      </c>
      <c r="BH41" s="51">
        <f t="shared" si="16"/>
        <v>2072.8000000000002</v>
      </c>
      <c r="BI41" s="51">
        <f t="shared" si="16"/>
        <v>2072.8000000000002</v>
      </c>
      <c r="BJ41" s="51">
        <f t="shared" si="16"/>
        <v>2072.8000000000002</v>
      </c>
      <c r="BK41" s="51">
        <f t="shared" si="16"/>
        <v>2072.8000000000002</v>
      </c>
      <c r="BL41" s="51">
        <f t="shared" si="16"/>
        <v>2072.8000000000002</v>
      </c>
      <c r="BM41" s="51">
        <f t="shared" si="16"/>
        <v>2072.8000000000002</v>
      </c>
      <c r="BN41" s="51">
        <f t="shared" si="16"/>
        <v>2072.8000000000002</v>
      </c>
    </row>
    <row r="42" spans="1:66" x14ac:dyDescent="0.35">
      <c r="A42" t="s">
        <v>122</v>
      </c>
      <c r="D42" s="51">
        <f>D12</f>
        <v>0</v>
      </c>
      <c r="E42" s="51">
        <f t="shared" ref="E42:BN42" si="17">E12</f>
        <v>0</v>
      </c>
      <c r="F42" s="51">
        <f t="shared" si="17"/>
        <v>33.869</v>
      </c>
      <c r="G42" s="51">
        <f t="shared" si="17"/>
        <v>78.697000000000003</v>
      </c>
      <c r="H42" s="51">
        <f t="shared" si="17"/>
        <v>129.40700000000001</v>
      </c>
      <c r="I42" s="51">
        <f t="shared" si="17"/>
        <v>241.43900000000002</v>
      </c>
      <c r="J42" s="51">
        <f t="shared" si="17"/>
        <v>433.27699999999999</v>
      </c>
      <c r="K42" s="51">
        <f t="shared" si="17"/>
        <v>509.03999999999996</v>
      </c>
      <c r="L42" s="51">
        <f t="shared" si="17"/>
        <v>543.51400000000001</v>
      </c>
      <c r="M42" s="51">
        <f t="shared" si="17"/>
        <v>601.03399999999999</v>
      </c>
      <c r="N42" s="51">
        <f t="shared" si="17"/>
        <v>657.9899999999999</v>
      </c>
      <c r="O42" s="51">
        <f t="shared" si="17"/>
        <v>680.76199999999994</v>
      </c>
      <c r="P42" s="51">
        <f t="shared" si="17"/>
        <v>701.06399999999985</v>
      </c>
      <c r="Q42" s="51">
        <f t="shared" si="17"/>
        <v>701.06399999999985</v>
      </c>
      <c r="R42" s="51">
        <f t="shared" si="17"/>
        <v>725.3119999999999</v>
      </c>
      <c r="S42" s="51">
        <f t="shared" si="17"/>
        <v>759.93</v>
      </c>
      <c r="T42" s="51">
        <f t="shared" si="17"/>
        <v>825.22</v>
      </c>
      <c r="U42" s="51">
        <f t="shared" si="17"/>
        <v>860.49299999999994</v>
      </c>
      <c r="V42" s="51">
        <f t="shared" si="17"/>
        <v>860.49299999999994</v>
      </c>
      <c r="W42" s="51">
        <f t="shared" si="17"/>
        <v>860.49299999999994</v>
      </c>
      <c r="X42" s="51">
        <f t="shared" si="17"/>
        <v>860.49299999999994</v>
      </c>
      <c r="Y42" s="51">
        <f t="shared" si="17"/>
        <v>968.02099999999996</v>
      </c>
      <c r="Z42" s="51">
        <f t="shared" si="17"/>
        <v>1139.6209999999999</v>
      </c>
      <c r="AA42" s="51">
        <f t="shared" si="17"/>
        <v>1549.8369999999998</v>
      </c>
      <c r="AB42" s="51">
        <f t="shared" si="17"/>
        <v>1582.53</v>
      </c>
      <c r="AC42" s="51">
        <f t="shared" si="17"/>
        <v>1980.2509999999997</v>
      </c>
      <c r="AD42" s="51">
        <f t="shared" si="17"/>
        <v>2072.7509999999997</v>
      </c>
      <c r="AE42" s="51">
        <f t="shared" si="17"/>
        <v>2072.7509999999997</v>
      </c>
      <c r="AF42" s="51">
        <f t="shared" si="17"/>
        <v>2072.7509999999997</v>
      </c>
      <c r="AG42" s="51">
        <f t="shared" si="17"/>
        <v>2072.7509999999997</v>
      </c>
      <c r="AH42" s="51">
        <f t="shared" si="17"/>
        <v>2072.7509999999997</v>
      </c>
      <c r="AI42" s="51">
        <f t="shared" si="17"/>
        <v>2072.7509999999997</v>
      </c>
      <c r="AJ42" s="51">
        <f t="shared" si="17"/>
        <v>2072.7509999999997</v>
      </c>
      <c r="AK42" s="51">
        <f t="shared" si="17"/>
        <v>2072.7509999999997</v>
      </c>
      <c r="AL42" s="51">
        <f t="shared" si="17"/>
        <v>2072.7509999999997</v>
      </c>
      <c r="AM42" s="51">
        <f t="shared" si="17"/>
        <v>2072.7509999999997</v>
      </c>
      <c r="AN42" s="51">
        <f t="shared" si="17"/>
        <v>2072.7509999999997</v>
      </c>
      <c r="AO42" s="51">
        <f t="shared" si="17"/>
        <v>2072.7509999999997</v>
      </c>
      <c r="AP42" s="51">
        <f t="shared" si="17"/>
        <v>2072.7509999999997</v>
      </c>
      <c r="AQ42" s="51">
        <f t="shared" si="17"/>
        <v>2072.7509999999997</v>
      </c>
      <c r="AR42" s="51">
        <f t="shared" si="17"/>
        <v>2072.7509999999997</v>
      </c>
      <c r="AS42" s="51">
        <f t="shared" si="17"/>
        <v>2072.7509999999997</v>
      </c>
      <c r="AT42" s="51">
        <f t="shared" si="17"/>
        <v>2072.7509999999997</v>
      </c>
      <c r="AU42" s="51">
        <f t="shared" si="17"/>
        <v>2072.7509999999997</v>
      </c>
      <c r="AV42" s="51">
        <f t="shared" si="17"/>
        <v>2072.7509999999997</v>
      </c>
      <c r="AW42" s="51">
        <f t="shared" si="17"/>
        <v>2072.7509999999997</v>
      </c>
      <c r="AX42" s="51">
        <f t="shared" si="17"/>
        <v>2072.7509999999997</v>
      </c>
      <c r="AY42" s="51">
        <f t="shared" si="17"/>
        <v>2072.7509999999997</v>
      </c>
      <c r="AZ42" s="51">
        <f t="shared" si="17"/>
        <v>2072.7509999999997</v>
      </c>
      <c r="BA42" s="51">
        <f t="shared" si="17"/>
        <v>2072.7509999999997</v>
      </c>
      <c r="BB42" s="51">
        <f t="shared" si="17"/>
        <v>2072.7509999999997</v>
      </c>
      <c r="BC42" s="51">
        <f t="shared" si="17"/>
        <v>2072.7509999999997</v>
      </c>
      <c r="BD42" s="51">
        <f t="shared" si="17"/>
        <v>2072.7509999999997</v>
      </c>
      <c r="BE42" s="51">
        <f t="shared" si="17"/>
        <v>2072.7509999999997</v>
      </c>
      <c r="BF42" s="51">
        <f t="shared" si="17"/>
        <v>2072.7509999999997</v>
      </c>
      <c r="BG42" s="51">
        <f t="shared" si="17"/>
        <v>2072.7509999999997</v>
      </c>
      <c r="BH42" s="51">
        <f t="shared" si="17"/>
        <v>2072.7509999999997</v>
      </c>
      <c r="BI42" s="51">
        <f t="shared" si="17"/>
        <v>2072.7509999999997</v>
      </c>
      <c r="BJ42" s="51">
        <f t="shared" si="17"/>
        <v>2072.7509999999997</v>
      </c>
      <c r="BK42" s="51">
        <f t="shared" si="17"/>
        <v>2072.7509999999997</v>
      </c>
      <c r="BL42" s="51">
        <f t="shared" si="17"/>
        <v>2072.7509999999997</v>
      </c>
      <c r="BM42" s="51">
        <f t="shared" si="17"/>
        <v>2072.7509999999997</v>
      </c>
      <c r="BN42" s="51">
        <f t="shared" si="17"/>
        <v>2072.7509999999997</v>
      </c>
    </row>
    <row r="43" spans="1:66" x14ac:dyDescent="0.35">
      <c r="A43" t="s">
        <v>20</v>
      </c>
      <c r="D43" s="51">
        <f>D28</f>
        <v>0</v>
      </c>
      <c r="E43" s="51">
        <f t="shared" ref="E43:BN43" si="18">E28</f>
        <v>0</v>
      </c>
      <c r="F43" s="51">
        <f t="shared" si="18"/>
        <v>0</v>
      </c>
      <c r="G43" s="51">
        <f t="shared" si="18"/>
        <v>0</v>
      </c>
      <c r="H43" s="51">
        <f t="shared" si="18"/>
        <v>0</v>
      </c>
      <c r="I43" s="51">
        <f t="shared" si="18"/>
        <v>0</v>
      </c>
      <c r="J43" s="51">
        <f t="shared" si="18"/>
        <v>0</v>
      </c>
      <c r="K43" s="51">
        <f t="shared" si="18"/>
        <v>33.869</v>
      </c>
      <c r="L43" s="51">
        <f t="shared" si="18"/>
        <v>78.697000000000003</v>
      </c>
      <c r="M43" s="51">
        <f t="shared" si="18"/>
        <v>129.40700000000001</v>
      </c>
      <c r="N43" s="51">
        <f t="shared" si="18"/>
        <v>241.43900000000002</v>
      </c>
      <c r="O43" s="51">
        <f t="shared" si="18"/>
        <v>433.27699999999999</v>
      </c>
      <c r="P43" s="51">
        <f t="shared" si="18"/>
        <v>509.03999999999996</v>
      </c>
      <c r="Q43" s="51">
        <f t="shared" si="18"/>
        <v>543.51400000000001</v>
      </c>
      <c r="R43" s="51">
        <f t="shared" si="18"/>
        <v>601.03399999999999</v>
      </c>
      <c r="S43" s="51">
        <f t="shared" si="18"/>
        <v>657.9899999999999</v>
      </c>
      <c r="T43" s="51">
        <f t="shared" si="18"/>
        <v>680.76199999999994</v>
      </c>
      <c r="U43" s="51">
        <f t="shared" si="18"/>
        <v>701.06399999999985</v>
      </c>
      <c r="V43" s="51">
        <f t="shared" si="18"/>
        <v>701.06399999999985</v>
      </c>
      <c r="W43" s="51">
        <f t="shared" si="18"/>
        <v>725.3119999999999</v>
      </c>
      <c r="X43" s="51">
        <f t="shared" si="18"/>
        <v>759.93</v>
      </c>
      <c r="Y43" s="51">
        <f t="shared" si="18"/>
        <v>825.22</v>
      </c>
      <c r="Z43" s="51">
        <f t="shared" si="18"/>
        <v>860.49299999999994</v>
      </c>
      <c r="AA43" s="51">
        <f t="shared" si="18"/>
        <v>860.49299999999994</v>
      </c>
      <c r="AB43" s="51">
        <f t="shared" si="18"/>
        <v>860.49299999999994</v>
      </c>
      <c r="AC43" s="51">
        <f t="shared" si="18"/>
        <v>895.03099999999995</v>
      </c>
      <c r="AD43" s="51">
        <f t="shared" si="18"/>
        <v>895.03099999999995</v>
      </c>
      <c r="AE43" s="51">
        <f t="shared" si="18"/>
        <v>895.03099999999995</v>
      </c>
      <c r="AF43" s="51">
        <f t="shared" si="18"/>
        <v>1204.8519999999999</v>
      </c>
      <c r="AG43" s="51">
        <f t="shared" si="18"/>
        <v>1421.7450000000001</v>
      </c>
      <c r="AH43" s="51">
        <f t="shared" si="18"/>
        <v>1574.6130000000001</v>
      </c>
      <c r="AI43" s="51">
        <f t="shared" si="18"/>
        <v>1901.2130000000002</v>
      </c>
      <c r="AJ43" s="51">
        <f t="shared" si="18"/>
        <v>1901.2130000000002</v>
      </c>
      <c r="AK43" s="51">
        <f t="shared" si="18"/>
        <v>1901.2130000000002</v>
      </c>
      <c r="AL43" s="51">
        <f t="shared" si="18"/>
        <v>1901.2130000000002</v>
      </c>
      <c r="AM43" s="51">
        <f t="shared" si="18"/>
        <v>1901.2130000000002</v>
      </c>
      <c r="AN43" s="51">
        <f t="shared" si="18"/>
        <v>1901.2130000000002</v>
      </c>
      <c r="AO43" s="51">
        <f t="shared" si="18"/>
        <v>1901.2130000000002</v>
      </c>
      <c r="AP43" s="51">
        <f t="shared" si="18"/>
        <v>1901.2130000000002</v>
      </c>
      <c r="AQ43" s="51">
        <f t="shared" si="18"/>
        <v>1901.2130000000002</v>
      </c>
      <c r="AR43" s="51">
        <f t="shared" si="18"/>
        <v>1901.2130000000002</v>
      </c>
      <c r="AS43" s="51">
        <f t="shared" si="18"/>
        <v>1901.2130000000002</v>
      </c>
      <c r="AT43" s="51">
        <f t="shared" si="18"/>
        <v>1901.2130000000002</v>
      </c>
      <c r="AU43" s="51">
        <f t="shared" si="18"/>
        <v>1901.2130000000002</v>
      </c>
      <c r="AV43" s="51">
        <f t="shared" si="18"/>
        <v>1901.2130000000002</v>
      </c>
      <c r="AW43" s="51">
        <f t="shared" si="18"/>
        <v>1901.2130000000002</v>
      </c>
      <c r="AX43" s="51">
        <f t="shared" si="18"/>
        <v>1901.2130000000002</v>
      </c>
      <c r="AY43" s="51">
        <f t="shared" si="18"/>
        <v>1901.2130000000002</v>
      </c>
      <c r="AZ43" s="51">
        <f t="shared" si="18"/>
        <v>1901.2130000000002</v>
      </c>
      <c r="BA43" s="51">
        <f t="shared" si="18"/>
        <v>1901.2130000000002</v>
      </c>
      <c r="BB43" s="51">
        <f t="shared" si="18"/>
        <v>1901.2130000000002</v>
      </c>
      <c r="BC43" s="51">
        <f t="shared" si="18"/>
        <v>1901.2130000000002</v>
      </c>
      <c r="BD43" s="51">
        <f t="shared" si="18"/>
        <v>1901.2130000000002</v>
      </c>
      <c r="BE43" s="51">
        <f t="shared" si="18"/>
        <v>1901.2130000000002</v>
      </c>
      <c r="BF43" s="51">
        <f t="shared" si="18"/>
        <v>1901.2130000000002</v>
      </c>
      <c r="BG43" s="51">
        <f t="shared" si="18"/>
        <v>1901.2130000000002</v>
      </c>
      <c r="BH43" s="51">
        <f t="shared" si="18"/>
        <v>1901.2130000000002</v>
      </c>
      <c r="BI43" s="51">
        <f t="shared" si="18"/>
        <v>1901.2130000000002</v>
      </c>
      <c r="BJ43" s="51">
        <f t="shared" si="18"/>
        <v>1901.2130000000002</v>
      </c>
      <c r="BK43" s="51">
        <f t="shared" si="18"/>
        <v>1901.2130000000002</v>
      </c>
      <c r="BL43" s="51">
        <f t="shared" si="18"/>
        <v>1901.2130000000002</v>
      </c>
      <c r="BM43" s="51">
        <f t="shared" si="18"/>
        <v>1901.2130000000002</v>
      </c>
      <c r="BN43" s="51">
        <f t="shared" si="18"/>
        <v>1901.2130000000002</v>
      </c>
    </row>
    <row r="44" spans="1:66" x14ac:dyDescent="0.35">
      <c r="A44" t="s">
        <v>21</v>
      </c>
      <c r="D44" s="51">
        <f>D30</f>
        <v>0</v>
      </c>
      <c r="E44" s="51">
        <f>E30</f>
        <v>0</v>
      </c>
      <c r="F44" s="51">
        <f t="shared" ref="F44:BN44" si="19">F30</f>
        <v>0</v>
      </c>
      <c r="G44" s="51">
        <f t="shared" si="19"/>
        <v>0</v>
      </c>
      <c r="H44" s="51">
        <f t="shared" si="19"/>
        <v>0</v>
      </c>
      <c r="I44" s="51">
        <f t="shared" si="19"/>
        <v>0</v>
      </c>
      <c r="J44" s="51">
        <f t="shared" si="19"/>
        <v>0</v>
      </c>
      <c r="K44" s="51">
        <f t="shared" si="19"/>
        <v>33.869</v>
      </c>
      <c r="L44" s="51">
        <f t="shared" si="19"/>
        <v>78.697000000000003</v>
      </c>
      <c r="M44" s="51">
        <f t="shared" si="19"/>
        <v>129.40700000000001</v>
      </c>
      <c r="N44" s="51">
        <f t="shared" si="19"/>
        <v>241.43900000000002</v>
      </c>
      <c r="O44" s="51">
        <f t="shared" si="19"/>
        <v>433.27699999999999</v>
      </c>
      <c r="P44" s="51">
        <f t="shared" si="19"/>
        <v>509.03999999999996</v>
      </c>
      <c r="Q44" s="51">
        <f t="shared" si="19"/>
        <v>543.51400000000001</v>
      </c>
      <c r="R44" s="51">
        <f t="shared" si="19"/>
        <v>601.03399999999999</v>
      </c>
      <c r="S44" s="51">
        <f t="shared" si="19"/>
        <v>657.9899999999999</v>
      </c>
      <c r="T44" s="51">
        <f t="shared" si="19"/>
        <v>680.76199999999994</v>
      </c>
      <c r="U44" s="51">
        <f t="shared" si="19"/>
        <v>701.06399999999985</v>
      </c>
      <c r="V44" s="51">
        <f t="shared" si="19"/>
        <v>701.06399999999985</v>
      </c>
      <c r="W44" s="51">
        <f t="shared" si="19"/>
        <v>725.3119999999999</v>
      </c>
      <c r="X44" s="51">
        <f t="shared" si="19"/>
        <v>759.93</v>
      </c>
      <c r="Y44" s="51">
        <f t="shared" si="19"/>
        <v>825.22</v>
      </c>
      <c r="Z44" s="51">
        <f t="shared" si="19"/>
        <v>860.49299999999994</v>
      </c>
      <c r="AA44" s="51">
        <f t="shared" si="19"/>
        <v>860.49299999999994</v>
      </c>
      <c r="AB44" s="51">
        <f t="shared" si="19"/>
        <v>860.49299999999994</v>
      </c>
      <c r="AC44" s="51">
        <f t="shared" si="19"/>
        <v>895.03099999999995</v>
      </c>
      <c r="AD44" s="51">
        <f t="shared" si="19"/>
        <v>895.03099999999995</v>
      </c>
      <c r="AE44" s="51">
        <f t="shared" si="19"/>
        <v>895.03099999999995</v>
      </c>
      <c r="AF44" s="51">
        <f t="shared" si="19"/>
        <v>1204.8519999999999</v>
      </c>
      <c r="AG44" s="51">
        <f t="shared" si="19"/>
        <v>1421.7450000000001</v>
      </c>
      <c r="AH44" s="51">
        <f t="shared" si="19"/>
        <v>1574.6130000000001</v>
      </c>
      <c r="AI44" s="51">
        <f t="shared" si="19"/>
        <v>1901.2130000000002</v>
      </c>
      <c r="AJ44" s="51">
        <f t="shared" si="19"/>
        <v>1901.2130000000002</v>
      </c>
      <c r="AK44" s="51">
        <f t="shared" si="19"/>
        <v>1901.2130000000002</v>
      </c>
      <c r="AL44" s="51">
        <f t="shared" si="19"/>
        <v>1901.2130000000002</v>
      </c>
      <c r="AM44" s="51">
        <f t="shared" si="19"/>
        <v>1901.2130000000002</v>
      </c>
      <c r="AN44" s="51">
        <f t="shared" si="19"/>
        <v>1901.2130000000002</v>
      </c>
      <c r="AO44" s="51">
        <f t="shared" si="19"/>
        <v>1901.2130000000002</v>
      </c>
      <c r="AP44" s="51">
        <f t="shared" si="19"/>
        <v>1901.2130000000002</v>
      </c>
      <c r="AQ44" s="51">
        <f t="shared" si="19"/>
        <v>1901.2130000000002</v>
      </c>
      <c r="AR44" s="51">
        <f t="shared" si="19"/>
        <v>1901.2130000000002</v>
      </c>
      <c r="AS44" s="51">
        <f t="shared" si="19"/>
        <v>1901.2130000000002</v>
      </c>
      <c r="AT44" s="51">
        <f t="shared" si="19"/>
        <v>1901.2130000000002</v>
      </c>
      <c r="AU44" s="51">
        <f t="shared" si="19"/>
        <v>1901.2130000000002</v>
      </c>
      <c r="AV44" s="51">
        <f t="shared" si="19"/>
        <v>1901.2130000000002</v>
      </c>
      <c r="AW44" s="51">
        <f t="shared" si="19"/>
        <v>1901.2130000000002</v>
      </c>
      <c r="AX44" s="51">
        <f t="shared" si="19"/>
        <v>1901.2130000000002</v>
      </c>
      <c r="AY44" s="51">
        <f t="shared" si="19"/>
        <v>1901.2130000000002</v>
      </c>
      <c r="AZ44" s="51">
        <f t="shared" si="19"/>
        <v>1901.2130000000002</v>
      </c>
      <c r="BA44" s="51">
        <f t="shared" si="19"/>
        <v>1901.2130000000002</v>
      </c>
      <c r="BB44" s="51">
        <f t="shared" si="19"/>
        <v>1901.2130000000002</v>
      </c>
      <c r="BC44" s="51">
        <f t="shared" si="19"/>
        <v>1901.2130000000002</v>
      </c>
      <c r="BD44" s="51">
        <f t="shared" si="19"/>
        <v>1901.2130000000002</v>
      </c>
      <c r="BE44" s="51">
        <f t="shared" si="19"/>
        <v>1901.2130000000002</v>
      </c>
      <c r="BF44" s="51">
        <f t="shared" si="19"/>
        <v>1901.2130000000002</v>
      </c>
      <c r="BG44" s="51">
        <f t="shared" si="19"/>
        <v>1901.2130000000002</v>
      </c>
      <c r="BH44" s="51">
        <f t="shared" si="19"/>
        <v>1901.2130000000002</v>
      </c>
      <c r="BI44" s="51">
        <f t="shared" si="19"/>
        <v>1901.2130000000002</v>
      </c>
      <c r="BJ44" s="51">
        <f t="shared" si="19"/>
        <v>1901.2130000000002</v>
      </c>
      <c r="BK44" s="51">
        <f t="shared" si="19"/>
        <v>1901.2130000000002</v>
      </c>
      <c r="BL44" s="51">
        <f t="shared" si="19"/>
        <v>1901.2130000000002</v>
      </c>
      <c r="BM44" s="51">
        <f t="shared" si="19"/>
        <v>1901.2130000000002</v>
      </c>
      <c r="BN44" s="51">
        <f t="shared" si="19"/>
        <v>1901.2130000000002</v>
      </c>
    </row>
    <row r="45" spans="1:66" x14ac:dyDescent="0.35">
      <c r="A45" t="s">
        <v>22</v>
      </c>
      <c r="D45" s="51">
        <f>D31+D32</f>
        <v>0</v>
      </c>
      <c r="E45" s="51">
        <f>E31+E32</f>
        <v>0</v>
      </c>
      <c r="F45" s="51">
        <f t="shared" ref="F45:BN45" si="20">F31+F32</f>
        <v>0</v>
      </c>
      <c r="G45" s="51">
        <f t="shared" si="20"/>
        <v>0</v>
      </c>
      <c r="H45" s="51">
        <f t="shared" si="20"/>
        <v>0</v>
      </c>
      <c r="I45" s="51">
        <f t="shared" si="20"/>
        <v>0</v>
      </c>
      <c r="J45" s="51">
        <f t="shared" si="20"/>
        <v>0</v>
      </c>
      <c r="K45" s="51">
        <f>K31+K32</f>
        <v>33.869</v>
      </c>
      <c r="L45" s="51">
        <f t="shared" si="20"/>
        <v>78.697000000000003</v>
      </c>
      <c r="M45" s="51">
        <f t="shared" si="20"/>
        <v>129.40700000000001</v>
      </c>
      <c r="N45" s="51">
        <f t="shared" si="20"/>
        <v>241.43900000000002</v>
      </c>
      <c r="O45" s="51">
        <f t="shared" si="20"/>
        <v>433.27699999999999</v>
      </c>
      <c r="P45" s="51">
        <f t="shared" si="20"/>
        <v>509.03999999999996</v>
      </c>
      <c r="Q45" s="51">
        <f t="shared" si="20"/>
        <v>543.51400000000001</v>
      </c>
      <c r="R45" s="51">
        <f t="shared" si="20"/>
        <v>601.03399999999999</v>
      </c>
      <c r="S45" s="51">
        <f t="shared" si="20"/>
        <v>657.9899999999999</v>
      </c>
      <c r="T45" s="51">
        <f t="shared" si="20"/>
        <v>680.76199999999994</v>
      </c>
      <c r="U45" s="51">
        <f t="shared" si="20"/>
        <v>701.06399999999985</v>
      </c>
      <c r="V45" s="51">
        <f t="shared" si="20"/>
        <v>701.06399999999985</v>
      </c>
      <c r="W45" s="51">
        <f t="shared" si="20"/>
        <v>725.3119999999999</v>
      </c>
      <c r="X45" s="51">
        <f t="shared" si="20"/>
        <v>759.93</v>
      </c>
      <c r="Y45" s="51">
        <f t="shared" si="20"/>
        <v>825.22</v>
      </c>
      <c r="Z45" s="51">
        <f t="shared" si="20"/>
        <v>860.49299999999994</v>
      </c>
      <c r="AA45" s="51">
        <f t="shared" si="20"/>
        <v>860.49299999999994</v>
      </c>
      <c r="AB45" s="51">
        <f t="shared" si="20"/>
        <v>860.49299999999994</v>
      </c>
      <c r="AC45" s="51">
        <f t="shared" si="20"/>
        <v>895.03099999999995</v>
      </c>
      <c r="AD45" s="51">
        <f t="shared" si="20"/>
        <v>895.03099999999995</v>
      </c>
      <c r="AE45" s="51">
        <f t="shared" si="20"/>
        <v>895.03099999999995</v>
      </c>
      <c r="AF45" s="51">
        <f t="shared" si="20"/>
        <v>1204.8519999999999</v>
      </c>
      <c r="AG45" s="51">
        <f t="shared" si="20"/>
        <v>1421.7450000000001</v>
      </c>
      <c r="AH45" s="51">
        <f t="shared" si="20"/>
        <v>1574.6130000000003</v>
      </c>
      <c r="AI45" s="51">
        <f t="shared" si="20"/>
        <v>1901.2130000000002</v>
      </c>
      <c r="AJ45" s="51">
        <f t="shared" si="20"/>
        <v>1901.2130000000002</v>
      </c>
      <c r="AK45" s="51">
        <f t="shared" si="20"/>
        <v>1901.2130000000002</v>
      </c>
      <c r="AL45" s="51">
        <f t="shared" si="20"/>
        <v>1901.2130000000002</v>
      </c>
      <c r="AM45" s="51">
        <f t="shared" si="20"/>
        <v>1901.2130000000002</v>
      </c>
      <c r="AN45" s="51">
        <f t="shared" si="20"/>
        <v>1901.2130000000002</v>
      </c>
      <c r="AO45" s="51">
        <f t="shared" si="20"/>
        <v>1901.2130000000002</v>
      </c>
      <c r="AP45" s="51">
        <f t="shared" si="20"/>
        <v>1901.2130000000002</v>
      </c>
      <c r="AQ45" s="51">
        <f t="shared" si="20"/>
        <v>1901.2130000000002</v>
      </c>
      <c r="AR45" s="51">
        <f t="shared" si="20"/>
        <v>1901.2130000000002</v>
      </c>
      <c r="AS45" s="51">
        <f t="shared" si="20"/>
        <v>1901.2130000000002</v>
      </c>
      <c r="AT45" s="51">
        <f t="shared" si="20"/>
        <v>1901.2130000000002</v>
      </c>
      <c r="AU45" s="51">
        <f t="shared" si="20"/>
        <v>1901.2130000000002</v>
      </c>
      <c r="AV45" s="51">
        <f t="shared" si="20"/>
        <v>1901.2130000000002</v>
      </c>
      <c r="AW45" s="51">
        <f t="shared" si="20"/>
        <v>1901.2130000000002</v>
      </c>
      <c r="AX45" s="51">
        <f t="shared" si="20"/>
        <v>1901.2130000000002</v>
      </c>
      <c r="AY45" s="51">
        <f t="shared" si="20"/>
        <v>1901.2130000000002</v>
      </c>
      <c r="AZ45" s="51">
        <f t="shared" si="20"/>
        <v>1901.2130000000002</v>
      </c>
      <c r="BA45" s="51">
        <f t="shared" si="20"/>
        <v>1901.2130000000002</v>
      </c>
      <c r="BB45" s="51">
        <f t="shared" si="20"/>
        <v>1901.2130000000002</v>
      </c>
      <c r="BC45" s="51">
        <f t="shared" si="20"/>
        <v>1901.2130000000002</v>
      </c>
      <c r="BD45" s="51">
        <f t="shared" si="20"/>
        <v>1901.2130000000002</v>
      </c>
      <c r="BE45" s="51">
        <f t="shared" si="20"/>
        <v>1901.2130000000002</v>
      </c>
      <c r="BF45" s="51">
        <f t="shared" si="20"/>
        <v>1901.2130000000002</v>
      </c>
      <c r="BG45" s="51">
        <f t="shared" si="20"/>
        <v>1901.2130000000002</v>
      </c>
      <c r="BH45" s="51">
        <f t="shared" si="20"/>
        <v>1901.2130000000002</v>
      </c>
      <c r="BI45" s="51">
        <f t="shared" si="20"/>
        <v>1901.2130000000002</v>
      </c>
      <c r="BJ45" s="51">
        <f t="shared" si="20"/>
        <v>1901.2130000000002</v>
      </c>
      <c r="BK45" s="51">
        <f t="shared" si="20"/>
        <v>1901.2130000000002</v>
      </c>
      <c r="BL45" s="51">
        <f t="shared" si="20"/>
        <v>1901.2130000000002</v>
      </c>
      <c r="BM45" s="51">
        <f t="shared" si="20"/>
        <v>1901.2130000000002</v>
      </c>
      <c r="BN45" s="51">
        <f t="shared" si="20"/>
        <v>1901.2130000000002</v>
      </c>
    </row>
    <row r="46" spans="1:66" x14ac:dyDescent="0.35">
      <c r="A46" t="s">
        <v>23</v>
      </c>
      <c r="D46" s="51">
        <f>D38</f>
        <v>0</v>
      </c>
      <c r="E46" s="51">
        <f t="shared" ref="E46:BN46" si="21">E38</f>
        <v>0</v>
      </c>
      <c r="F46" s="51">
        <f t="shared" si="21"/>
        <v>0</v>
      </c>
      <c r="G46" s="51">
        <f t="shared" si="21"/>
        <v>0</v>
      </c>
      <c r="H46" s="51">
        <f t="shared" si="21"/>
        <v>0</v>
      </c>
      <c r="I46" s="51">
        <f t="shared" si="21"/>
        <v>0</v>
      </c>
      <c r="J46" s="51">
        <f t="shared" si="21"/>
        <v>0</v>
      </c>
      <c r="K46" s="51">
        <f>K38</f>
        <v>0</v>
      </c>
      <c r="L46" s="51">
        <f t="shared" si="21"/>
        <v>0</v>
      </c>
      <c r="M46" s="51">
        <f t="shared" si="21"/>
        <v>0</v>
      </c>
      <c r="N46" s="51">
        <f t="shared" si="21"/>
        <v>0</v>
      </c>
      <c r="O46" s="51">
        <f t="shared" si="21"/>
        <v>0</v>
      </c>
      <c r="P46" s="51">
        <f t="shared" si="21"/>
        <v>0</v>
      </c>
      <c r="Q46" s="51">
        <f t="shared" si="21"/>
        <v>0</v>
      </c>
      <c r="R46" s="51">
        <f t="shared" si="21"/>
        <v>0</v>
      </c>
      <c r="S46" s="51">
        <f t="shared" si="21"/>
        <v>0</v>
      </c>
      <c r="T46" s="51">
        <f t="shared" si="21"/>
        <v>0</v>
      </c>
      <c r="U46" s="51">
        <f t="shared" si="21"/>
        <v>0</v>
      </c>
      <c r="V46" s="51">
        <f t="shared" si="21"/>
        <v>0</v>
      </c>
      <c r="W46" s="51">
        <f t="shared" si="21"/>
        <v>0</v>
      </c>
      <c r="X46" s="51">
        <f t="shared" si="21"/>
        <v>0</v>
      </c>
      <c r="Y46" s="51">
        <f t="shared" si="21"/>
        <v>0</v>
      </c>
      <c r="Z46" s="51">
        <f t="shared" si="21"/>
        <v>0</v>
      </c>
      <c r="AA46" s="51">
        <f t="shared" si="21"/>
        <v>0</v>
      </c>
      <c r="AB46" s="51">
        <f t="shared" si="21"/>
        <v>0</v>
      </c>
      <c r="AC46" s="51">
        <f t="shared" si="21"/>
        <v>0</v>
      </c>
      <c r="AD46" s="51">
        <f t="shared" si="21"/>
        <v>0</v>
      </c>
      <c r="AE46" s="51">
        <f t="shared" si="21"/>
        <v>171.6</v>
      </c>
      <c r="AF46" s="51">
        <f t="shared" si="21"/>
        <v>171.6</v>
      </c>
      <c r="AG46" s="51">
        <f t="shared" si="21"/>
        <v>171.6</v>
      </c>
      <c r="AH46" s="51">
        <f t="shared" si="21"/>
        <v>171.6</v>
      </c>
      <c r="AI46" s="51">
        <f t="shared" si="21"/>
        <v>171.6</v>
      </c>
      <c r="AJ46" s="51">
        <f t="shared" si="21"/>
        <v>171.6</v>
      </c>
      <c r="AK46" s="51">
        <f t="shared" si="21"/>
        <v>171.6</v>
      </c>
      <c r="AL46" s="51">
        <f t="shared" si="21"/>
        <v>171.6</v>
      </c>
      <c r="AM46" s="51">
        <f t="shared" si="21"/>
        <v>171.6</v>
      </c>
      <c r="AN46" s="51">
        <f t="shared" si="21"/>
        <v>171.6</v>
      </c>
      <c r="AO46" s="51">
        <f t="shared" si="21"/>
        <v>171.6</v>
      </c>
      <c r="AP46" s="51">
        <f t="shared" si="21"/>
        <v>171.6</v>
      </c>
      <c r="AQ46" s="51">
        <f t="shared" si="21"/>
        <v>171.6</v>
      </c>
      <c r="AR46" s="51">
        <f t="shared" si="21"/>
        <v>171.6</v>
      </c>
      <c r="AS46" s="51">
        <f t="shared" si="21"/>
        <v>171.6</v>
      </c>
      <c r="AT46" s="51">
        <f t="shared" si="21"/>
        <v>171.6</v>
      </c>
      <c r="AU46" s="51">
        <f t="shared" si="21"/>
        <v>171.6</v>
      </c>
      <c r="AV46" s="51">
        <f t="shared" si="21"/>
        <v>171.6</v>
      </c>
      <c r="AW46" s="51">
        <f t="shared" si="21"/>
        <v>171.6</v>
      </c>
      <c r="AX46" s="51">
        <f t="shared" si="21"/>
        <v>171.6</v>
      </c>
      <c r="AY46" s="51">
        <f t="shared" si="21"/>
        <v>171.6</v>
      </c>
      <c r="AZ46" s="51">
        <f t="shared" si="21"/>
        <v>171.6</v>
      </c>
      <c r="BA46" s="51">
        <f t="shared" si="21"/>
        <v>171.6</v>
      </c>
      <c r="BB46" s="51">
        <f t="shared" si="21"/>
        <v>171.6</v>
      </c>
      <c r="BC46" s="51">
        <f t="shared" si="21"/>
        <v>171.6</v>
      </c>
      <c r="BD46" s="51">
        <f t="shared" si="21"/>
        <v>171.6</v>
      </c>
      <c r="BE46" s="51">
        <f t="shared" si="21"/>
        <v>171.6</v>
      </c>
      <c r="BF46" s="51">
        <f t="shared" si="21"/>
        <v>171.6</v>
      </c>
      <c r="BG46" s="51">
        <f t="shared" si="21"/>
        <v>171.6</v>
      </c>
      <c r="BH46" s="51">
        <f t="shared" si="21"/>
        <v>171.6</v>
      </c>
      <c r="BI46" s="51">
        <f t="shared" si="21"/>
        <v>171.6</v>
      </c>
      <c r="BJ46" s="51">
        <f t="shared" si="21"/>
        <v>171.6</v>
      </c>
      <c r="BK46" s="51">
        <f t="shared" si="21"/>
        <v>171.6</v>
      </c>
      <c r="BL46" s="51">
        <f t="shared" si="21"/>
        <v>171.6</v>
      </c>
      <c r="BM46" s="51">
        <f t="shared" si="21"/>
        <v>171.6</v>
      </c>
      <c r="BN46" s="51">
        <f t="shared" si="21"/>
        <v>171.6</v>
      </c>
    </row>
    <row r="47" spans="1:66" x14ac:dyDescent="0.35">
      <c r="A47" t="s">
        <v>24</v>
      </c>
      <c r="D47" s="51">
        <f>D35+D36+D39</f>
        <v>0</v>
      </c>
      <c r="E47" s="51">
        <f t="shared" ref="E47:BN47" si="22">E35+E36+E39</f>
        <v>0</v>
      </c>
      <c r="F47" s="51">
        <f t="shared" si="22"/>
        <v>0</v>
      </c>
      <c r="G47" s="51">
        <f t="shared" si="22"/>
        <v>0</v>
      </c>
      <c r="H47" s="51">
        <f t="shared" si="22"/>
        <v>0</v>
      </c>
      <c r="I47" s="51">
        <f t="shared" si="22"/>
        <v>0</v>
      </c>
      <c r="J47" s="51">
        <f t="shared" si="22"/>
        <v>0</v>
      </c>
      <c r="K47" s="51">
        <f t="shared" si="22"/>
        <v>0</v>
      </c>
      <c r="L47" s="51">
        <f t="shared" si="22"/>
        <v>0</v>
      </c>
      <c r="M47" s="51">
        <f t="shared" si="22"/>
        <v>0</v>
      </c>
      <c r="N47" s="51">
        <f t="shared" si="22"/>
        <v>0</v>
      </c>
      <c r="O47" s="51">
        <f t="shared" si="22"/>
        <v>0</v>
      </c>
      <c r="P47" s="51">
        <f t="shared" si="22"/>
        <v>0</v>
      </c>
      <c r="Q47" s="51">
        <f t="shared" si="22"/>
        <v>0</v>
      </c>
      <c r="R47" s="51">
        <f t="shared" si="22"/>
        <v>0</v>
      </c>
      <c r="S47" s="51">
        <f t="shared" si="22"/>
        <v>0</v>
      </c>
      <c r="T47" s="51">
        <f t="shared" si="22"/>
        <v>0</v>
      </c>
      <c r="U47" s="51">
        <f t="shared" si="22"/>
        <v>0</v>
      </c>
      <c r="V47" s="51">
        <f t="shared" si="22"/>
        <v>0</v>
      </c>
      <c r="W47" s="51">
        <f t="shared" si="22"/>
        <v>0</v>
      </c>
      <c r="X47" s="51">
        <f t="shared" si="22"/>
        <v>0</v>
      </c>
      <c r="Y47" s="51">
        <f t="shared" si="22"/>
        <v>0</v>
      </c>
      <c r="Z47" s="51">
        <f t="shared" si="22"/>
        <v>0</v>
      </c>
      <c r="AA47" s="51">
        <f t="shared" si="22"/>
        <v>0</v>
      </c>
      <c r="AB47" s="51">
        <f t="shared" si="22"/>
        <v>0</v>
      </c>
      <c r="AC47" s="51">
        <f t="shared" si="22"/>
        <v>0</v>
      </c>
      <c r="AD47" s="51">
        <f t="shared" si="22"/>
        <v>0</v>
      </c>
      <c r="AE47" s="51">
        <f t="shared" si="22"/>
        <v>0</v>
      </c>
      <c r="AF47" s="51">
        <f t="shared" si="22"/>
        <v>0</v>
      </c>
      <c r="AG47" s="51">
        <f t="shared" si="22"/>
        <v>171.6</v>
      </c>
      <c r="AH47" s="51">
        <f t="shared" si="22"/>
        <v>211.6</v>
      </c>
      <c r="AI47" s="51">
        <f t="shared" si="22"/>
        <v>525.6</v>
      </c>
      <c r="AJ47" s="51">
        <f t="shared" si="22"/>
        <v>525.6</v>
      </c>
      <c r="AK47" s="51">
        <f t="shared" si="22"/>
        <v>525.6</v>
      </c>
      <c r="AL47" s="51">
        <f t="shared" si="22"/>
        <v>525.6</v>
      </c>
      <c r="AM47" s="51">
        <f t="shared" si="22"/>
        <v>667.6</v>
      </c>
      <c r="AN47" s="51">
        <f t="shared" si="22"/>
        <v>667.6</v>
      </c>
      <c r="AO47" s="51">
        <f t="shared" si="22"/>
        <v>667.6</v>
      </c>
      <c r="AP47" s="51">
        <f t="shared" si="22"/>
        <v>691.6</v>
      </c>
      <c r="AQ47" s="51">
        <f t="shared" si="22"/>
        <v>1345.6</v>
      </c>
      <c r="AR47" s="51">
        <f t="shared" si="22"/>
        <v>1373.6029999999998</v>
      </c>
      <c r="AS47" s="51">
        <f t="shared" si="22"/>
        <v>1532.5029999999999</v>
      </c>
      <c r="AT47" s="51">
        <f t="shared" si="22"/>
        <v>1532.5029999999999</v>
      </c>
      <c r="AU47" s="51">
        <f t="shared" si="22"/>
        <v>1532.5029999999999</v>
      </c>
      <c r="AV47" s="51">
        <f t="shared" si="22"/>
        <v>1532.5029999999999</v>
      </c>
      <c r="AW47" s="51">
        <f t="shared" si="22"/>
        <v>1566.5029999999999</v>
      </c>
      <c r="AX47" s="51">
        <f t="shared" si="22"/>
        <v>1566.5029999999999</v>
      </c>
      <c r="AY47" s="51">
        <f t="shared" si="22"/>
        <v>1566.5029999999999</v>
      </c>
      <c r="AZ47" s="51">
        <f t="shared" si="22"/>
        <v>1745.6030000000001</v>
      </c>
      <c r="BA47" s="51">
        <f t="shared" si="22"/>
        <v>1745.6030000000001</v>
      </c>
      <c r="BB47" s="51">
        <f t="shared" si="22"/>
        <v>2072.9029999999998</v>
      </c>
      <c r="BC47" s="51">
        <f t="shared" si="22"/>
        <v>2072.9029999999998</v>
      </c>
      <c r="BD47" s="51">
        <f t="shared" si="22"/>
        <v>2072.9029999999998</v>
      </c>
      <c r="BE47" s="51">
        <f t="shared" si="22"/>
        <v>2072.9029999999998</v>
      </c>
      <c r="BF47" s="51">
        <f t="shared" si="22"/>
        <v>2072.9029999999998</v>
      </c>
      <c r="BG47" s="51">
        <f t="shared" si="22"/>
        <v>2072.9029999999998</v>
      </c>
      <c r="BH47" s="51">
        <f t="shared" si="22"/>
        <v>2072.9029999999998</v>
      </c>
      <c r="BI47" s="51">
        <f t="shared" si="22"/>
        <v>2072.9029999999998</v>
      </c>
      <c r="BJ47" s="51">
        <f t="shared" si="22"/>
        <v>2072.9029999999998</v>
      </c>
      <c r="BK47" s="51">
        <f t="shared" si="22"/>
        <v>2072.9029999999998</v>
      </c>
      <c r="BL47" s="51">
        <f t="shared" si="22"/>
        <v>2072.9029999999998</v>
      </c>
      <c r="BM47" s="51">
        <f t="shared" si="22"/>
        <v>2072.9029999999998</v>
      </c>
      <c r="BN47" s="51">
        <f t="shared" si="22"/>
        <v>2072.9029999999998</v>
      </c>
    </row>
    <row r="49" spans="1:66" x14ac:dyDescent="0.35">
      <c r="A49" s="2" t="s">
        <v>25</v>
      </c>
    </row>
    <row r="50" spans="1:66" x14ac:dyDescent="0.35">
      <c r="A50" t="s">
        <v>19</v>
      </c>
      <c r="D50" s="51">
        <f t="shared" ref="D50:AD50" si="23">D41-D43-D46</f>
        <v>0</v>
      </c>
      <c r="E50" s="51">
        <f t="shared" si="23"/>
        <v>729.56120186411579</v>
      </c>
      <c r="F50" s="51">
        <f t="shared" si="23"/>
        <v>903.65681792167447</v>
      </c>
      <c r="G50" s="51">
        <f t="shared" si="23"/>
        <v>967.03631796255422</v>
      </c>
      <c r="H50" s="51">
        <f t="shared" si="23"/>
        <v>1198.0823657100809</v>
      </c>
      <c r="I50" s="51">
        <f t="shared" si="23"/>
        <v>1379.2096226800752</v>
      </c>
      <c r="J50" s="51">
        <f t="shared" si="23"/>
        <v>1410.3011949145614</v>
      </c>
      <c r="K50" s="51">
        <f t="shared" si="23"/>
        <v>1423.9856198184941</v>
      </c>
      <c r="L50" s="51">
        <f t="shared" si="23"/>
        <v>1411.8215450903444</v>
      </c>
      <c r="M50" s="51">
        <f t="shared" si="23"/>
        <v>1390.2830887090183</v>
      </c>
      <c r="N50" s="51">
        <f t="shared" si="23"/>
        <v>1303.4595213800999</v>
      </c>
      <c r="O50" s="51">
        <f t="shared" si="23"/>
        <v>1136.5945894039737</v>
      </c>
      <c r="P50" s="51">
        <f t="shared" si="23"/>
        <v>1234.6948311667079</v>
      </c>
      <c r="Q50" s="51">
        <f t="shared" si="23"/>
        <v>1403.3512644918651</v>
      </c>
      <c r="R50" s="51">
        <f t="shared" si="23"/>
        <v>1364.7444253127301</v>
      </c>
      <c r="S50" s="51">
        <f t="shared" si="23"/>
        <v>1337.4101892731587</v>
      </c>
      <c r="T50" s="51">
        <f t="shared" si="23"/>
        <v>1342.5850554329165</v>
      </c>
      <c r="U50" s="51">
        <f t="shared" si="23"/>
        <v>1357.3728968195574</v>
      </c>
      <c r="V50" s="51">
        <f t="shared" si="23"/>
        <v>1370.130441991661</v>
      </c>
      <c r="W50" s="51">
        <f t="shared" si="23"/>
        <v>1347.4880000000003</v>
      </c>
      <c r="X50" s="51">
        <f t="shared" si="23"/>
        <v>1312.8700000000003</v>
      </c>
      <c r="Y50" s="51">
        <f t="shared" si="23"/>
        <v>1247.5800000000002</v>
      </c>
      <c r="Z50" s="51">
        <f t="shared" si="23"/>
        <v>1212.3070000000002</v>
      </c>
      <c r="AA50" s="51">
        <f t="shared" si="23"/>
        <v>1212.3070000000002</v>
      </c>
      <c r="AB50" s="51">
        <f t="shared" si="23"/>
        <v>1212.3070000000002</v>
      </c>
      <c r="AC50" s="51">
        <f t="shared" si="23"/>
        <v>1177.7690000000002</v>
      </c>
      <c r="AD50" s="51">
        <f t="shared" si="23"/>
        <v>1177.7690000000002</v>
      </c>
      <c r="AE50" s="51">
        <f t="shared" ref="AE50:BN50" si="24">AE41-AE43-AE46</f>
        <v>1006.1690000000002</v>
      </c>
      <c r="AF50" s="51">
        <f t="shared" si="24"/>
        <v>696.3480000000003</v>
      </c>
      <c r="AG50" s="51">
        <f t="shared" si="24"/>
        <v>479.45500000000004</v>
      </c>
      <c r="AH50" s="51">
        <f t="shared" si="24"/>
        <v>326.5870000000001</v>
      </c>
      <c r="AI50" s="51">
        <f t="shared" si="24"/>
        <v>-1.300000000000523E-2</v>
      </c>
      <c r="AJ50" s="51">
        <f t="shared" si="24"/>
        <v>-1.300000000000523E-2</v>
      </c>
      <c r="AK50" s="51">
        <f t="shared" si="24"/>
        <v>-1.300000000000523E-2</v>
      </c>
      <c r="AL50" s="51">
        <f t="shared" si="24"/>
        <v>-1.300000000000523E-2</v>
      </c>
      <c r="AM50" s="51">
        <f t="shared" si="24"/>
        <v>-1.300000000000523E-2</v>
      </c>
      <c r="AN50" s="51">
        <f t="shared" si="24"/>
        <v>-1.300000000000523E-2</v>
      </c>
      <c r="AO50" s="51">
        <f t="shared" si="24"/>
        <v>-1.300000000000523E-2</v>
      </c>
      <c r="AP50" s="51">
        <f t="shared" si="24"/>
        <v>-1.300000000000523E-2</v>
      </c>
      <c r="AQ50" s="51">
        <f t="shared" si="24"/>
        <v>-1.300000000000523E-2</v>
      </c>
      <c r="AR50" s="51">
        <f t="shared" si="24"/>
        <v>-1.300000000000523E-2</v>
      </c>
      <c r="AS50" s="51">
        <f t="shared" si="24"/>
        <v>-1.300000000000523E-2</v>
      </c>
      <c r="AT50" s="51">
        <f t="shared" si="24"/>
        <v>-1.300000000000523E-2</v>
      </c>
      <c r="AU50" s="51">
        <f t="shared" si="24"/>
        <v>-1.300000000000523E-2</v>
      </c>
      <c r="AV50" s="51">
        <f t="shared" si="24"/>
        <v>-1.300000000000523E-2</v>
      </c>
      <c r="AW50" s="51">
        <f t="shared" si="24"/>
        <v>-1.300000000000523E-2</v>
      </c>
      <c r="AX50" s="51">
        <f t="shared" si="24"/>
        <v>-1.300000000000523E-2</v>
      </c>
      <c r="AY50" s="51">
        <f t="shared" si="24"/>
        <v>-1.300000000000523E-2</v>
      </c>
      <c r="AZ50" s="51">
        <f t="shared" si="24"/>
        <v>-1.300000000000523E-2</v>
      </c>
      <c r="BA50" s="51">
        <f t="shared" si="24"/>
        <v>-1.300000000000523E-2</v>
      </c>
      <c r="BB50" s="51">
        <f t="shared" si="24"/>
        <v>-1.300000000000523E-2</v>
      </c>
      <c r="BC50" s="51">
        <f t="shared" si="24"/>
        <v>-1.300000000000523E-2</v>
      </c>
      <c r="BD50" s="51">
        <f t="shared" si="24"/>
        <v>-1.300000000000523E-2</v>
      </c>
      <c r="BE50" s="51">
        <f t="shared" si="24"/>
        <v>-1.300000000000523E-2</v>
      </c>
      <c r="BF50" s="51">
        <f t="shared" si="24"/>
        <v>-1.300000000000523E-2</v>
      </c>
      <c r="BG50" s="51">
        <f t="shared" si="24"/>
        <v>-1.300000000000523E-2</v>
      </c>
      <c r="BH50" s="51">
        <f t="shared" si="24"/>
        <v>-1.300000000000523E-2</v>
      </c>
      <c r="BI50" s="51">
        <f t="shared" si="24"/>
        <v>-1.300000000000523E-2</v>
      </c>
      <c r="BJ50" s="51">
        <f t="shared" si="24"/>
        <v>-1.300000000000523E-2</v>
      </c>
      <c r="BK50" s="51">
        <f t="shared" si="24"/>
        <v>-1.300000000000523E-2</v>
      </c>
      <c r="BL50" s="51">
        <f t="shared" si="24"/>
        <v>-1.300000000000523E-2</v>
      </c>
      <c r="BM50" s="51">
        <f t="shared" si="24"/>
        <v>-1.300000000000523E-2</v>
      </c>
      <c r="BN50" s="51">
        <f t="shared" si="24"/>
        <v>-1.300000000000523E-2</v>
      </c>
    </row>
    <row r="51" spans="1:66" x14ac:dyDescent="0.35">
      <c r="A51" t="s">
        <v>122</v>
      </c>
      <c r="D51" s="51">
        <f>D42-D43-D46</f>
        <v>0</v>
      </c>
      <c r="E51" s="51">
        <f t="shared" ref="E51:BN51" si="25">E42-E43-E46</f>
        <v>0</v>
      </c>
      <c r="F51" s="51">
        <f t="shared" si="25"/>
        <v>33.869</v>
      </c>
      <c r="G51" s="51">
        <f t="shared" si="25"/>
        <v>78.697000000000003</v>
      </c>
      <c r="H51" s="51">
        <f t="shared" si="25"/>
        <v>129.40700000000001</v>
      </c>
      <c r="I51" s="51">
        <f t="shared" si="25"/>
        <v>241.43900000000002</v>
      </c>
      <c r="J51" s="51">
        <f t="shared" si="25"/>
        <v>433.27699999999999</v>
      </c>
      <c r="K51" s="51">
        <f t="shared" si="25"/>
        <v>475.17099999999994</v>
      </c>
      <c r="L51" s="51">
        <f t="shared" si="25"/>
        <v>464.81700000000001</v>
      </c>
      <c r="M51" s="51">
        <f t="shared" si="25"/>
        <v>471.62699999999995</v>
      </c>
      <c r="N51" s="51">
        <f t="shared" si="25"/>
        <v>416.55099999999987</v>
      </c>
      <c r="O51" s="51">
        <f t="shared" si="25"/>
        <v>247.48499999999996</v>
      </c>
      <c r="P51" s="51">
        <f t="shared" si="25"/>
        <v>192.02399999999989</v>
      </c>
      <c r="Q51" s="51">
        <f t="shared" si="25"/>
        <v>157.54999999999984</v>
      </c>
      <c r="R51" s="51">
        <f t="shared" si="25"/>
        <v>124.27799999999991</v>
      </c>
      <c r="S51" s="51">
        <f t="shared" si="25"/>
        <v>101.94000000000005</v>
      </c>
      <c r="T51" s="51">
        <f t="shared" si="25"/>
        <v>144.45800000000008</v>
      </c>
      <c r="U51" s="51">
        <f t="shared" si="25"/>
        <v>159.42900000000009</v>
      </c>
      <c r="V51" s="51">
        <f t="shared" si="25"/>
        <v>159.42900000000009</v>
      </c>
      <c r="W51" s="51">
        <f t="shared" si="25"/>
        <v>135.18100000000004</v>
      </c>
      <c r="X51" s="51">
        <f t="shared" si="25"/>
        <v>100.56299999999999</v>
      </c>
      <c r="Y51" s="51">
        <f t="shared" si="25"/>
        <v>142.80099999999993</v>
      </c>
      <c r="Z51" s="51">
        <f t="shared" si="25"/>
        <v>279.12799999999993</v>
      </c>
      <c r="AA51" s="51">
        <f t="shared" si="25"/>
        <v>689.34399999999982</v>
      </c>
      <c r="AB51" s="51">
        <f t="shared" si="25"/>
        <v>722.03700000000003</v>
      </c>
      <c r="AC51" s="51">
        <f t="shared" si="25"/>
        <v>1085.2199999999998</v>
      </c>
      <c r="AD51" s="51">
        <f t="shared" si="25"/>
        <v>1177.7199999999998</v>
      </c>
      <c r="AE51" s="51">
        <f t="shared" si="25"/>
        <v>1006.1199999999998</v>
      </c>
      <c r="AF51" s="51">
        <f t="shared" si="25"/>
        <v>696.29899999999986</v>
      </c>
      <c r="AG51" s="51">
        <f t="shared" si="25"/>
        <v>479.40599999999961</v>
      </c>
      <c r="AH51" s="51">
        <f t="shared" si="25"/>
        <v>326.53799999999967</v>
      </c>
      <c r="AI51" s="51">
        <f t="shared" si="25"/>
        <v>-6.2000000000438149E-2</v>
      </c>
      <c r="AJ51" s="51">
        <f t="shared" si="25"/>
        <v>-6.2000000000438149E-2</v>
      </c>
      <c r="AK51" s="51">
        <f t="shared" si="25"/>
        <v>-6.2000000000438149E-2</v>
      </c>
      <c r="AL51" s="51">
        <f t="shared" si="25"/>
        <v>-6.2000000000438149E-2</v>
      </c>
      <c r="AM51" s="51">
        <f t="shared" si="25"/>
        <v>-6.2000000000438149E-2</v>
      </c>
      <c r="AN51" s="51">
        <f t="shared" si="25"/>
        <v>-6.2000000000438149E-2</v>
      </c>
      <c r="AO51" s="51">
        <f t="shared" si="25"/>
        <v>-6.2000000000438149E-2</v>
      </c>
      <c r="AP51" s="51">
        <f t="shared" si="25"/>
        <v>-6.2000000000438149E-2</v>
      </c>
      <c r="AQ51" s="51">
        <f t="shared" si="25"/>
        <v>-6.2000000000438149E-2</v>
      </c>
      <c r="AR51" s="51">
        <f t="shared" si="25"/>
        <v>-6.2000000000438149E-2</v>
      </c>
      <c r="AS51" s="51">
        <f t="shared" si="25"/>
        <v>-6.2000000000438149E-2</v>
      </c>
      <c r="AT51" s="51">
        <f t="shared" si="25"/>
        <v>-6.2000000000438149E-2</v>
      </c>
      <c r="AU51" s="51">
        <f t="shared" si="25"/>
        <v>-6.2000000000438149E-2</v>
      </c>
      <c r="AV51" s="51">
        <f t="shared" si="25"/>
        <v>-6.2000000000438149E-2</v>
      </c>
      <c r="AW51" s="51">
        <f t="shared" si="25"/>
        <v>-6.2000000000438149E-2</v>
      </c>
      <c r="AX51" s="51">
        <f t="shared" si="25"/>
        <v>-6.2000000000438149E-2</v>
      </c>
      <c r="AY51" s="51">
        <f t="shared" si="25"/>
        <v>-6.2000000000438149E-2</v>
      </c>
      <c r="AZ51" s="51">
        <f t="shared" si="25"/>
        <v>-6.2000000000438149E-2</v>
      </c>
      <c r="BA51" s="51">
        <f t="shared" si="25"/>
        <v>-6.2000000000438149E-2</v>
      </c>
      <c r="BB51" s="51">
        <f t="shared" si="25"/>
        <v>-6.2000000000438149E-2</v>
      </c>
      <c r="BC51" s="51">
        <f t="shared" si="25"/>
        <v>-6.2000000000438149E-2</v>
      </c>
      <c r="BD51" s="51">
        <f t="shared" si="25"/>
        <v>-6.2000000000438149E-2</v>
      </c>
      <c r="BE51" s="51">
        <f t="shared" si="25"/>
        <v>-6.2000000000438149E-2</v>
      </c>
      <c r="BF51" s="51">
        <f t="shared" si="25"/>
        <v>-6.2000000000438149E-2</v>
      </c>
      <c r="BG51" s="51">
        <f t="shared" si="25"/>
        <v>-6.2000000000438149E-2</v>
      </c>
      <c r="BH51" s="51">
        <f t="shared" si="25"/>
        <v>-6.2000000000438149E-2</v>
      </c>
      <c r="BI51" s="51">
        <f t="shared" si="25"/>
        <v>-6.2000000000438149E-2</v>
      </c>
      <c r="BJ51" s="51">
        <f t="shared" si="25"/>
        <v>-6.2000000000438149E-2</v>
      </c>
      <c r="BK51" s="51">
        <f t="shared" si="25"/>
        <v>-6.2000000000438149E-2</v>
      </c>
      <c r="BL51" s="51">
        <f t="shared" si="25"/>
        <v>-6.2000000000438149E-2</v>
      </c>
      <c r="BM51" s="51">
        <f t="shared" si="25"/>
        <v>-6.2000000000438149E-2</v>
      </c>
      <c r="BN51" s="51">
        <f t="shared" si="25"/>
        <v>-6.2000000000438149E-2</v>
      </c>
    </row>
    <row r="52" spans="1:66" x14ac:dyDescent="0.35">
      <c r="A52" t="s">
        <v>26</v>
      </c>
      <c r="D52" s="51">
        <f>D43-D44</f>
        <v>0</v>
      </c>
      <c r="E52" s="51">
        <f t="shared" ref="E52:BN52" si="26">E43-E44</f>
        <v>0</v>
      </c>
      <c r="F52" s="51">
        <f t="shared" si="26"/>
        <v>0</v>
      </c>
      <c r="G52" s="51">
        <f t="shared" si="26"/>
        <v>0</v>
      </c>
      <c r="H52" s="51">
        <f t="shared" si="26"/>
        <v>0</v>
      </c>
      <c r="I52" s="51">
        <f t="shared" si="26"/>
        <v>0</v>
      </c>
      <c r="J52" s="51">
        <f t="shared" si="26"/>
        <v>0</v>
      </c>
      <c r="K52" s="51">
        <f t="shared" si="26"/>
        <v>0</v>
      </c>
      <c r="L52" s="51">
        <f t="shared" si="26"/>
        <v>0</v>
      </c>
      <c r="M52" s="51">
        <f t="shared" si="26"/>
        <v>0</v>
      </c>
      <c r="N52" s="51">
        <f t="shared" si="26"/>
        <v>0</v>
      </c>
      <c r="O52" s="51">
        <f t="shared" si="26"/>
        <v>0</v>
      </c>
      <c r="P52" s="51">
        <f t="shared" si="26"/>
        <v>0</v>
      </c>
      <c r="Q52" s="51">
        <f t="shared" si="26"/>
        <v>0</v>
      </c>
      <c r="R52" s="51">
        <f t="shared" si="26"/>
        <v>0</v>
      </c>
      <c r="S52" s="51">
        <f t="shared" si="26"/>
        <v>0</v>
      </c>
      <c r="T52" s="51">
        <f t="shared" si="26"/>
        <v>0</v>
      </c>
      <c r="U52" s="51">
        <f t="shared" si="26"/>
        <v>0</v>
      </c>
      <c r="V52" s="51">
        <f t="shared" si="26"/>
        <v>0</v>
      </c>
      <c r="W52" s="51">
        <f t="shared" si="26"/>
        <v>0</v>
      </c>
      <c r="X52" s="51">
        <f t="shared" si="26"/>
        <v>0</v>
      </c>
      <c r="Y52" s="51">
        <f t="shared" si="26"/>
        <v>0</v>
      </c>
      <c r="Z52" s="51">
        <f t="shared" si="26"/>
        <v>0</v>
      </c>
      <c r="AA52" s="51">
        <f t="shared" si="26"/>
        <v>0</v>
      </c>
      <c r="AB52" s="51">
        <f t="shared" si="26"/>
        <v>0</v>
      </c>
      <c r="AC52" s="51">
        <f t="shared" si="26"/>
        <v>0</v>
      </c>
      <c r="AD52" s="51">
        <f t="shared" si="26"/>
        <v>0</v>
      </c>
      <c r="AE52" s="51">
        <f t="shared" si="26"/>
        <v>0</v>
      </c>
      <c r="AF52" s="51">
        <f t="shared" si="26"/>
        <v>0</v>
      </c>
      <c r="AG52" s="51">
        <f t="shared" si="26"/>
        <v>0</v>
      </c>
      <c r="AH52" s="51">
        <f t="shared" si="26"/>
        <v>0</v>
      </c>
      <c r="AI52" s="51">
        <f t="shared" si="26"/>
        <v>0</v>
      </c>
      <c r="AJ52" s="51">
        <f t="shared" si="26"/>
        <v>0</v>
      </c>
      <c r="AK52" s="51">
        <f t="shared" si="26"/>
        <v>0</v>
      </c>
      <c r="AL52" s="51">
        <f t="shared" si="26"/>
        <v>0</v>
      </c>
      <c r="AM52" s="51">
        <f t="shared" si="26"/>
        <v>0</v>
      </c>
      <c r="AN52" s="51">
        <f t="shared" si="26"/>
        <v>0</v>
      </c>
      <c r="AO52" s="51">
        <f t="shared" si="26"/>
        <v>0</v>
      </c>
      <c r="AP52" s="51">
        <f t="shared" si="26"/>
        <v>0</v>
      </c>
      <c r="AQ52" s="51">
        <f t="shared" si="26"/>
        <v>0</v>
      </c>
      <c r="AR52" s="51">
        <f t="shared" si="26"/>
        <v>0</v>
      </c>
      <c r="AS52" s="51">
        <f t="shared" si="26"/>
        <v>0</v>
      </c>
      <c r="AT52" s="51">
        <f t="shared" si="26"/>
        <v>0</v>
      </c>
      <c r="AU52" s="51">
        <f t="shared" si="26"/>
        <v>0</v>
      </c>
      <c r="AV52" s="51">
        <f t="shared" si="26"/>
        <v>0</v>
      </c>
      <c r="AW52" s="51">
        <f t="shared" si="26"/>
        <v>0</v>
      </c>
      <c r="AX52" s="51">
        <f t="shared" si="26"/>
        <v>0</v>
      </c>
      <c r="AY52" s="51">
        <f t="shared" si="26"/>
        <v>0</v>
      </c>
      <c r="AZ52" s="51">
        <f t="shared" si="26"/>
        <v>0</v>
      </c>
      <c r="BA52" s="51">
        <f t="shared" si="26"/>
        <v>0</v>
      </c>
      <c r="BB52" s="51">
        <f t="shared" si="26"/>
        <v>0</v>
      </c>
      <c r="BC52" s="51">
        <f t="shared" si="26"/>
        <v>0</v>
      </c>
      <c r="BD52" s="51">
        <f t="shared" si="26"/>
        <v>0</v>
      </c>
      <c r="BE52" s="51">
        <f t="shared" si="26"/>
        <v>0</v>
      </c>
      <c r="BF52" s="51">
        <f t="shared" si="26"/>
        <v>0</v>
      </c>
      <c r="BG52" s="51">
        <f t="shared" si="26"/>
        <v>0</v>
      </c>
      <c r="BH52" s="51">
        <f t="shared" si="26"/>
        <v>0</v>
      </c>
      <c r="BI52" s="51">
        <f t="shared" si="26"/>
        <v>0</v>
      </c>
      <c r="BJ52" s="51">
        <f t="shared" si="26"/>
        <v>0</v>
      </c>
      <c r="BK52" s="51">
        <f t="shared" si="26"/>
        <v>0</v>
      </c>
      <c r="BL52" s="51">
        <f t="shared" si="26"/>
        <v>0</v>
      </c>
      <c r="BM52" s="51">
        <f t="shared" si="26"/>
        <v>0</v>
      </c>
      <c r="BN52" s="51">
        <f t="shared" si="26"/>
        <v>0</v>
      </c>
    </row>
    <row r="53" spans="1:66" x14ac:dyDescent="0.35">
      <c r="A53" t="s">
        <v>27</v>
      </c>
      <c r="D53" s="51">
        <f>D44-D45</f>
        <v>0</v>
      </c>
      <c r="E53" s="51">
        <f>E44-E45</f>
        <v>0</v>
      </c>
      <c r="F53" s="51">
        <f t="shared" ref="F53:BN53" si="27">F44-F45</f>
        <v>0</v>
      </c>
      <c r="G53" s="51">
        <f t="shared" si="27"/>
        <v>0</v>
      </c>
      <c r="H53" s="51">
        <f t="shared" si="27"/>
        <v>0</v>
      </c>
      <c r="I53" s="51">
        <f t="shared" si="27"/>
        <v>0</v>
      </c>
      <c r="J53" s="51">
        <f t="shared" si="27"/>
        <v>0</v>
      </c>
      <c r="K53" s="51">
        <f t="shared" si="27"/>
        <v>0</v>
      </c>
      <c r="L53" s="51">
        <f t="shared" si="27"/>
        <v>0</v>
      </c>
      <c r="M53" s="51">
        <f t="shared" si="27"/>
        <v>0</v>
      </c>
      <c r="N53" s="51">
        <f t="shared" si="27"/>
        <v>0</v>
      </c>
      <c r="O53" s="51">
        <f t="shared" si="27"/>
        <v>0</v>
      </c>
      <c r="P53" s="51">
        <f t="shared" si="27"/>
        <v>0</v>
      </c>
      <c r="Q53" s="51">
        <f t="shared" si="27"/>
        <v>0</v>
      </c>
      <c r="R53" s="51">
        <f t="shared" si="27"/>
        <v>0</v>
      </c>
      <c r="S53" s="51">
        <f t="shared" si="27"/>
        <v>0</v>
      </c>
      <c r="T53" s="51">
        <f t="shared" si="27"/>
        <v>0</v>
      </c>
      <c r="U53" s="51">
        <f t="shared" si="27"/>
        <v>0</v>
      </c>
      <c r="V53" s="51">
        <f t="shared" si="27"/>
        <v>0</v>
      </c>
      <c r="W53" s="51">
        <f t="shared" si="27"/>
        <v>0</v>
      </c>
      <c r="X53" s="51">
        <f t="shared" si="27"/>
        <v>0</v>
      </c>
      <c r="Y53" s="51">
        <f t="shared" si="27"/>
        <v>0</v>
      </c>
      <c r="Z53" s="51">
        <f t="shared" si="27"/>
        <v>0</v>
      </c>
      <c r="AA53" s="51">
        <f t="shared" si="27"/>
        <v>0</v>
      </c>
      <c r="AB53" s="51">
        <f t="shared" si="27"/>
        <v>0</v>
      </c>
      <c r="AC53" s="51">
        <f t="shared" si="27"/>
        <v>0</v>
      </c>
      <c r="AD53" s="51">
        <f t="shared" si="27"/>
        <v>0</v>
      </c>
      <c r="AE53" s="51">
        <f t="shared" si="27"/>
        <v>0</v>
      </c>
      <c r="AF53" s="51">
        <f t="shared" si="27"/>
        <v>0</v>
      </c>
      <c r="AG53" s="51">
        <f t="shared" si="27"/>
        <v>0</v>
      </c>
      <c r="AH53" s="51">
        <f>AH44-AH45</f>
        <v>0</v>
      </c>
      <c r="AI53" s="51">
        <f t="shared" si="27"/>
        <v>0</v>
      </c>
      <c r="AJ53" s="51">
        <f t="shared" si="27"/>
        <v>0</v>
      </c>
      <c r="AK53" s="51">
        <f t="shared" si="27"/>
        <v>0</v>
      </c>
      <c r="AL53" s="51">
        <f t="shared" si="27"/>
        <v>0</v>
      </c>
      <c r="AM53" s="51">
        <f t="shared" si="27"/>
        <v>0</v>
      </c>
      <c r="AN53" s="51">
        <f t="shared" si="27"/>
        <v>0</v>
      </c>
      <c r="AO53" s="51">
        <f t="shared" si="27"/>
        <v>0</v>
      </c>
      <c r="AP53" s="51">
        <f t="shared" si="27"/>
        <v>0</v>
      </c>
      <c r="AQ53" s="51">
        <f t="shared" si="27"/>
        <v>0</v>
      </c>
      <c r="AR53" s="51">
        <f t="shared" si="27"/>
        <v>0</v>
      </c>
      <c r="AS53" s="51">
        <f t="shared" si="27"/>
        <v>0</v>
      </c>
      <c r="AT53" s="51">
        <f t="shared" si="27"/>
        <v>0</v>
      </c>
      <c r="AU53" s="51">
        <f t="shared" si="27"/>
        <v>0</v>
      </c>
      <c r="AV53" s="51">
        <f t="shared" si="27"/>
        <v>0</v>
      </c>
      <c r="AW53" s="51">
        <f t="shared" si="27"/>
        <v>0</v>
      </c>
      <c r="AX53" s="51">
        <f t="shared" si="27"/>
        <v>0</v>
      </c>
      <c r="AY53" s="51">
        <f t="shared" si="27"/>
        <v>0</v>
      </c>
      <c r="AZ53" s="51">
        <f t="shared" si="27"/>
        <v>0</v>
      </c>
      <c r="BA53" s="51">
        <f t="shared" si="27"/>
        <v>0</v>
      </c>
      <c r="BB53" s="51">
        <f t="shared" si="27"/>
        <v>0</v>
      </c>
      <c r="BC53" s="51">
        <f t="shared" si="27"/>
        <v>0</v>
      </c>
      <c r="BD53" s="51">
        <f t="shared" si="27"/>
        <v>0</v>
      </c>
      <c r="BE53" s="51">
        <f t="shared" si="27"/>
        <v>0</v>
      </c>
      <c r="BF53" s="51">
        <f t="shared" si="27"/>
        <v>0</v>
      </c>
      <c r="BG53" s="51">
        <f t="shared" si="27"/>
        <v>0</v>
      </c>
      <c r="BH53" s="51">
        <f t="shared" si="27"/>
        <v>0</v>
      </c>
      <c r="BI53" s="51">
        <f t="shared" si="27"/>
        <v>0</v>
      </c>
      <c r="BJ53" s="51">
        <f t="shared" si="27"/>
        <v>0</v>
      </c>
      <c r="BK53" s="51">
        <f t="shared" si="27"/>
        <v>0</v>
      </c>
      <c r="BL53" s="51">
        <f t="shared" si="27"/>
        <v>0</v>
      </c>
      <c r="BM53" s="51">
        <f t="shared" si="27"/>
        <v>0</v>
      </c>
      <c r="BN53" s="51">
        <f t="shared" si="27"/>
        <v>0</v>
      </c>
    </row>
    <row r="54" spans="1:66" x14ac:dyDescent="0.35">
      <c r="A54" t="s">
        <v>22</v>
      </c>
      <c r="D54" s="51">
        <f>D45-D47+D46</f>
        <v>0</v>
      </c>
      <c r="E54" s="51">
        <f t="shared" ref="E54:BN54" si="28">E45-E47+E46</f>
        <v>0</v>
      </c>
      <c r="F54" s="51">
        <f t="shared" si="28"/>
        <v>0</v>
      </c>
      <c r="G54" s="51">
        <f t="shared" si="28"/>
        <v>0</v>
      </c>
      <c r="H54" s="51">
        <f t="shared" si="28"/>
        <v>0</v>
      </c>
      <c r="I54" s="51">
        <f t="shared" si="28"/>
        <v>0</v>
      </c>
      <c r="J54" s="51">
        <f t="shared" si="28"/>
        <v>0</v>
      </c>
      <c r="K54" s="51">
        <f t="shared" si="28"/>
        <v>33.869</v>
      </c>
      <c r="L54" s="51">
        <f t="shared" si="28"/>
        <v>78.697000000000003</v>
      </c>
      <c r="M54" s="51">
        <f t="shared" si="28"/>
        <v>129.40700000000001</v>
      </c>
      <c r="N54" s="51">
        <f t="shared" si="28"/>
        <v>241.43900000000002</v>
      </c>
      <c r="O54" s="51">
        <f t="shared" si="28"/>
        <v>433.27699999999999</v>
      </c>
      <c r="P54" s="51">
        <f t="shared" si="28"/>
        <v>509.03999999999996</v>
      </c>
      <c r="Q54" s="51">
        <f t="shared" si="28"/>
        <v>543.51400000000001</v>
      </c>
      <c r="R54" s="51">
        <f t="shared" si="28"/>
        <v>601.03399999999999</v>
      </c>
      <c r="S54" s="51">
        <f t="shared" si="28"/>
        <v>657.9899999999999</v>
      </c>
      <c r="T54" s="51">
        <f t="shared" si="28"/>
        <v>680.76199999999994</v>
      </c>
      <c r="U54" s="51">
        <f t="shared" si="28"/>
        <v>701.06399999999985</v>
      </c>
      <c r="V54" s="51">
        <f t="shared" si="28"/>
        <v>701.06399999999985</v>
      </c>
      <c r="W54" s="51">
        <f t="shared" si="28"/>
        <v>725.3119999999999</v>
      </c>
      <c r="X54" s="51">
        <f t="shared" si="28"/>
        <v>759.93</v>
      </c>
      <c r="Y54" s="51">
        <f t="shared" si="28"/>
        <v>825.22</v>
      </c>
      <c r="Z54" s="51">
        <f t="shared" si="28"/>
        <v>860.49299999999994</v>
      </c>
      <c r="AA54" s="51">
        <f t="shared" si="28"/>
        <v>860.49299999999994</v>
      </c>
      <c r="AB54" s="51">
        <f t="shared" si="28"/>
        <v>860.49299999999994</v>
      </c>
      <c r="AC54" s="51">
        <f t="shared" si="28"/>
        <v>895.03099999999995</v>
      </c>
      <c r="AD54" s="51">
        <f t="shared" si="28"/>
        <v>895.03099999999995</v>
      </c>
      <c r="AE54" s="51">
        <f t="shared" si="28"/>
        <v>1066.6309999999999</v>
      </c>
      <c r="AF54" s="51">
        <f t="shared" si="28"/>
        <v>1376.4519999999998</v>
      </c>
      <c r="AG54" s="51">
        <f t="shared" si="28"/>
        <v>1421.7450000000001</v>
      </c>
      <c r="AH54" s="51">
        <f t="shared" si="28"/>
        <v>1534.6130000000003</v>
      </c>
      <c r="AI54" s="51">
        <f t="shared" si="28"/>
        <v>1547.2130000000002</v>
      </c>
      <c r="AJ54" s="51">
        <f t="shared" si="28"/>
        <v>1547.2130000000002</v>
      </c>
      <c r="AK54" s="51">
        <f t="shared" si="28"/>
        <v>1547.2130000000002</v>
      </c>
      <c r="AL54" s="51">
        <f t="shared" si="28"/>
        <v>1547.2130000000002</v>
      </c>
      <c r="AM54" s="51">
        <f t="shared" si="28"/>
        <v>1405.2130000000002</v>
      </c>
      <c r="AN54" s="51">
        <f t="shared" si="28"/>
        <v>1405.2130000000002</v>
      </c>
      <c r="AO54" s="51">
        <f t="shared" si="28"/>
        <v>1405.2130000000002</v>
      </c>
      <c r="AP54" s="51">
        <f t="shared" si="28"/>
        <v>1381.2130000000002</v>
      </c>
      <c r="AQ54" s="51">
        <f t="shared" si="28"/>
        <v>727.21300000000031</v>
      </c>
      <c r="AR54" s="51">
        <f t="shared" si="28"/>
        <v>699.21000000000038</v>
      </c>
      <c r="AS54" s="51">
        <f t="shared" si="28"/>
        <v>540.31000000000029</v>
      </c>
      <c r="AT54" s="51">
        <f t="shared" si="28"/>
        <v>540.31000000000029</v>
      </c>
      <c r="AU54" s="51">
        <f t="shared" si="28"/>
        <v>540.31000000000029</v>
      </c>
      <c r="AV54" s="51">
        <f t="shared" si="28"/>
        <v>540.31000000000029</v>
      </c>
      <c r="AW54" s="51">
        <f t="shared" si="28"/>
        <v>506.31000000000029</v>
      </c>
      <c r="AX54" s="51">
        <f t="shared" si="28"/>
        <v>506.31000000000029</v>
      </c>
      <c r="AY54" s="51">
        <f t="shared" si="28"/>
        <v>506.31000000000029</v>
      </c>
      <c r="AZ54" s="51">
        <f t="shared" si="28"/>
        <v>327.21000000000015</v>
      </c>
      <c r="BA54" s="51">
        <f t="shared" si="28"/>
        <v>327.21000000000015</v>
      </c>
      <c r="BB54" s="51">
        <f t="shared" si="28"/>
        <v>-8.9999999999605507E-2</v>
      </c>
      <c r="BC54" s="51">
        <f t="shared" si="28"/>
        <v>-8.9999999999605507E-2</v>
      </c>
      <c r="BD54" s="51">
        <f t="shared" si="28"/>
        <v>-8.9999999999605507E-2</v>
      </c>
      <c r="BE54" s="51">
        <f t="shared" si="28"/>
        <v>-8.9999999999605507E-2</v>
      </c>
      <c r="BF54" s="51">
        <f t="shared" si="28"/>
        <v>-8.9999999999605507E-2</v>
      </c>
      <c r="BG54" s="51">
        <f t="shared" si="28"/>
        <v>-8.9999999999605507E-2</v>
      </c>
      <c r="BH54" s="51">
        <f t="shared" si="28"/>
        <v>-8.9999999999605507E-2</v>
      </c>
      <c r="BI54" s="51">
        <f t="shared" si="28"/>
        <v>-8.9999999999605507E-2</v>
      </c>
      <c r="BJ54" s="51">
        <f t="shared" si="28"/>
        <v>-8.9999999999605507E-2</v>
      </c>
      <c r="BK54" s="51">
        <f t="shared" si="28"/>
        <v>-8.9999999999605507E-2</v>
      </c>
      <c r="BL54" s="51">
        <f t="shared" si="28"/>
        <v>-8.9999999999605507E-2</v>
      </c>
      <c r="BM54" s="51">
        <f t="shared" si="28"/>
        <v>-8.9999999999605507E-2</v>
      </c>
      <c r="BN54" s="51">
        <f t="shared" si="28"/>
        <v>-8.9999999999605507E-2</v>
      </c>
    </row>
    <row r="55" spans="1:66" x14ac:dyDescent="0.35">
      <c r="A55" t="s">
        <v>24</v>
      </c>
      <c r="D55" s="51">
        <f>D47</f>
        <v>0</v>
      </c>
      <c r="E55" s="51">
        <f t="shared" ref="E55:BN55" si="29">E47</f>
        <v>0</v>
      </c>
      <c r="F55" s="51">
        <f t="shared" si="29"/>
        <v>0</v>
      </c>
      <c r="G55" s="51">
        <f t="shared" si="29"/>
        <v>0</v>
      </c>
      <c r="H55" s="51">
        <f t="shared" si="29"/>
        <v>0</v>
      </c>
      <c r="I55" s="51">
        <f t="shared" si="29"/>
        <v>0</v>
      </c>
      <c r="J55" s="51">
        <f t="shared" si="29"/>
        <v>0</v>
      </c>
      <c r="K55" s="51">
        <f t="shared" si="29"/>
        <v>0</v>
      </c>
      <c r="L55" s="51">
        <f t="shared" si="29"/>
        <v>0</v>
      </c>
      <c r="M55" s="51">
        <f t="shared" si="29"/>
        <v>0</v>
      </c>
      <c r="N55" s="51">
        <f t="shared" si="29"/>
        <v>0</v>
      </c>
      <c r="O55" s="51">
        <f t="shared" si="29"/>
        <v>0</v>
      </c>
      <c r="P55" s="51">
        <f t="shared" si="29"/>
        <v>0</v>
      </c>
      <c r="Q55" s="51">
        <f t="shared" si="29"/>
        <v>0</v>
      </c>
      <c r="R55" s="51">
        <f t="shared" si="29"/>
        <v>0</v>
      </c>
      <c r="S55" s="51">
        <f t="shared" si="29"/>
        <v>0</v>
      </c>
      <c r="T55" s="51">
        <f t="shared" si="29"/>
        <v>0</v>
      </c>
      <c r="U55" s="51">
        <f t="shared" si="29"/>
        <v>0</v>
      </c>
      <c r="V55" s="51">
        <f t="shared" si="29"/>
        <v>0</v>
      </c>
      <c r="W55" s="51">
        <f t="shared" si="29"/>
        <v>0</v>
      </c>
      <c r="X55" s="51">
        <f t="shared" si="29"/>
        <v>0</v>
      </c>
      <c r="Y55" s="51">
        <f t="shared" si="29"/>
        <v>0</v>
      </c>
      <c r="Z55" s="51">
        <f t="shared" si="29"/>
        <v>0</v>
      </c>
      <c r="AA55" s="51">
        <f t="shared" si="29"/>
        <v>0</v>
      </c>
      <c r="AB55" s="51">
        <f t="shared" si="29"/>
        <v>0</v>
      </c>
      <c r="AC55" s="51">
        <f t="shared" si="29"/>
        <v>0</v>
      </c>
      <c r="AD55" s="51">
        <f t="shared" si="29"/>
        <v>0</v>
      </c>
      <c r="AE55" s="51">
        <f t="shared" si="29"/>
        <v>0</v>
      </c>
      <c r="AF55" s="51">
        <f t="shared" si="29"/>
        <v>0</v>
      </c>
      <c r="AG55" s="51">
        <f t="shared" si="29"/>
        <v>171.6</v>
      </c>
      <c r="AH55" s="51">
        <f t="shared" si="29"/>
        <v>211.6</v>
      </c>
      <c r="AI55" s="51">
        <f t="shared" si="29"/>
        <v>525.6</v>
      </c>
      <c r="AJ55" s="51">
        <f t="shared" si="29"/>
        <v>525.6</v>
      </c>
      <c r="AK55" s="51">
        <f t="shared" si="29"/>
        <v>525.6</v>
      </c>
      <c r="AL55" s="51">
        <f t="shared" si="29"/>
        <v>525.6</v>
      </c>
      <c r="AM55" s="51">
        <f t="shared" si="29"/>
        <v>667.6</v>
      </c>
      <c r="AN55" s="51">
        <f t="shared" si="29"/>
        <v>667.6</v>
      </c>
      <c r="AO55" s="51">
        <f t="shared" si="29"/>
        <v>667.6</v>
      </c>
      <c r="AP55" s="51">
        <f t="shared" si="29"/>
        <v>691.6</v>
      </c>
      <c r="AQ55" s="51">
        <f t="shared" si="29"/>
        <v>1345.6</v>
      </c>
      <c r="AR55" s="51">
        <f t="shared" si="29"/>
        <v>1373.6029999999998</v>
      </c>
      <c r="AS55" s="51">
        <f t="shared" si="29"/>
        <v>1532.5029999999999</v>
      </c>
      <c r="AT55" s="51">
        <f t="shared" si="29"/>
        <v>1532.5029999999999</v>
      </c>
      <c r="AU55" s="51">
        <f t="shared" si="29"/>
        <v>1532.5029999999999</v>
      </c>
      <c r="AV55" s="51">
        <f t="shared" si="29"/>
        <v>1532.5029999999999</v>
      </c>
      <c r="AW55" s="51">
        <f t="shared" si="29"/>
        <v>1566.5029999999999</v>
      </c>
      <c r="AX55" s="51">
        <f t="shared" si="29"/>
        <v>1566.5029999999999</v>
      </c>
      <c r="AY55" s="51">
        <f t="shared" si="29"/>
        <v>1566.5029999999999</v>
      </c>
      <c r="AZ55" s="51">
        <f t="shared" si="29"/>
        <v>1745.6030000000001</v>
      </c>
      <c r="BA55" s="51">
        <f t="shared" si="29"/>
        <v>1745.6030000000001</v>
      </c>
      <c r="BB55" s="51">
        <f t="shared" si="29"/>
        <v>2072.9029999999998</v>
      </c>
      <c r="BC55" s="51">
        <f t="shared" si="29"/>
        <v>2072.9029999999998</v>
      </c>
      <c r="BD55" s="51">
        <f t="shared" si="29"/>
        <v>2072.9029999999998</v>
      </c>
      <c r="BE55" s="51">
        <f t="shared" si="29"/>
        <v>2072.9029999999998</v>
      </c>
      <c r="BF55" s="51">
        <f t="shared" si="29"/>
        <v>2072.9029999999998</v>
      </c>
      <c r="BG55" s="51">
        <f t="shared" si="29"/>
        <v>2072.9029999999998</v>
      </c>
      <c r="BH55" s="51">
        <f t="shared" si="29"/>
        <v>2072.9029999999998</v>
      </c>
      <c r="BI55" s="51">
        <f t="shared" si="29"/>
        <v>2072.9029999999998</v>
      </c>
      <c r="BJ55" s="51">
        <f t="shared" si="29"/>
        <v>2072.9029999999998</v>
      </c>
      <c r="BK55" s="51">
        <f t="shared" si="29"/>
        <v>2072.9029999999998</v>
      </c>
      <c r="BL55" s="51">
        <f t="shared" si="29"/>
        <v>2072.9029999999998</v>
      </c>
      <c r="BM55" s="51">
        <f t="shared" si="29"/>
        <v>2072.9029999999998</v>
      </c>
      <c r="BN55" s="51">
        <f t="shared" si="29"/>
        <v>2072.9029999999998</v>
      </c>
    </row>
    <row r="57" spans="1:66" x14ac:dyDescent="0.35">
      <c r="A57" s="2" t="s">
        <v>118</v>
      </c>
    </row>
    <row r="58" spans="1:66" x14ac:dyDescent="0.35">
      <c r="A58" t="s">
        <v>19</v>
      </c>
      <c r="D58" s="51">
        <f>D41-C41</f>
        <v>0</v>
      </c>
      <c r="E58" s="51">
        <f t="shared" ref="E58:BN58" si="30">E41-D41</f>
        <v>729.56120186411579</v>
      </c>
      <c r="F58" s="51">
        <f t="shared" si="30"/>
        <v>174.09561605755869</v>
      </c>
      <c r="G58" s="51">
        <f t="shared" si="30"/>
        <v>63.379500040879748</v>
      </c>
      <c r="H58" s="51">
        <f t="shared" si="30"/>
        <v>231.0460477475267</v>
      </c>
      <c r="I58" s="51">
        <f t="shared" si="30"/>
        <v>181.12725696999428</v>
      </c>
      <c r="J58" s="51">
        <f t="shared" si="30"/>
        <v>31.091572234486193</v>
      </c>
      <c r="K58" s="51">
        <f t="shared" si="30"/>
        <v>47.553424903932637</v>
      </c>
      <c r="L58" s="51">
        <f t="shared" si="30"/>
        <v>32.663925271850303</v>
      </c>
      <c r="M58" s="51">
        <f t="shared" si="30"/>
        <v>29.171543618673923</v>
      </c>
      <c r="N58" s="51">
        <f t="shared" si="30"/>
        <v>25.208432671081709</v>
      </c>
      <c r="O58" s="51">
        <f t="shared" si="30"/>
        <v>24.973068023873793</v>
      </c>
      <c r="P58" s="51">
        <f t="shared" si="30"/>
        <v>173.86324176273411</v>
      </c>
      <c r="Q58" s="51">
        <f t="shared" si="30"/>
        <v>203.13043332515736</v>
      </c>
      <c r="R58" s="51">
        <f t="shared" si="30"/>
        <v>18.91316082086496</v>
      </c>
      <c r="S58" s="51">
        <f t="shared" si="30"/>
        <v>29.621763960428325</v>
      </c>
      <c r="T58" s="51">
        <f t="shared" si="30"/>
        <v>27.946866159757974</v>
      </c>
      <c r="U58" s="51">
        <f t="shared" si="30"/>
        <v>35.089841386640728</v>
      </c>
      <c r="V58" s="51">
        <f t="shared" si="30"/>
        <v>12.757545172103619</v>
      </c>
      <c r="W58" s="51">
        <f t="shared" si="30"/>
        <v>1.6055580083393579</v>
      </c>
      <c r="X58" s="51">
        <f t="shared" si="30"/>
        <v>0</v>
      </c>
      <c r="Y58" s="51">
        <f t="shared" si="30"/>
        <v>0</v>
      </c>
      <c r="Z58" s="51">
        <f t="shared" si="30"/>
        <v>0</v>
      </c>
      <c r="AA58" s="51">
        <f t="shared" si="30"/>
        <v>0</v>
      </c>
      <c r="AB58" s="51">
        <f t="shared" si="30"/>
        <v>0</v>
      </c>
      <c r="AC58" s="51">
        <f t="shared" si="30"/>
        <v>0</v>
      </c>
      <c r="AD58" s="51">
        <f t="shared" si="30"/>
        <v>0</v>
      </c>
      <c r="AE58" s="51">
        <f t="shared" si="30"/>
        <v>0</v>
      </c>
      <c r="AF58" s="51">
        <f t="shared" si="30"/>
        <v>0</v>
      </c>
      <c r="AG58" s="51">
        <f t="shared" si="30"/>
        <v>0</v>
      </c>
      <c r="AH58" s="51">
        <f t="shared" si="30"/>
        <v>0</v>
      </c>
      <c r="AI58" s="51">
        <f t="shared" si="30"/>
        <v>0</v>
      </c>
      <c r="AJ58" s="51">
        <f t="shared" si="30"/>
        <v>0</v>
      </c>
      <c r="AK58" s="51">
        <f t="shared" si="30"/>
        <v>0</v>
      </c>
      <c r="AL58" s="51">
        <f t="shared" si="30"/>
        <v>0</v>
      </c>
      <c r="AM58" s="51">
        <f t="shared" si="30"/>
        <v>0</v>
      </c>
      <c r="AN58" s="51">
        <f t="shared" si="30"/>
        <v>0</v>
      </c>
      <c r="AO58" s="51">
        <f t="shared" si="30"/>
        <v>0</v>
      </c>
      <c r="AP58" s="51">
        <f t="shared" si="30"/>
        <v>0</v>
      </c>
      <c r="AQ58" s="51">
        <f t="shared" si="30"/>
        <v>0</v>
      </c>
      <c r="AR58" s="51">
        <f t="shared" si="30"/>
        <v>0</v>
      </c>
      <c r="AS58" s="51">
        <f t="shared" si="30"/>
        <v>0</v>
      </c>
      <c r="AT58" s="51">
        <f t="shared" si="30"/>
        <v>0</v>
      </c>
      <c r="AU58" s="51">
        <f t="shared" si="30"/>
        <v>0</v>
      </c>
      <c r="AV58" s="51">
        <f t="shared" si="30"/>
        <v>0</v>
      </c>
      <c r="AW58" s="51">
        <f t="shared" si="30"/>
        <v>0</v>
      </c>
      <c r="AX58" s="51">
        <f t="shared" si="30"/>
        <v>0</v>
      </c>
      <c r="AY58" s="51">
        <f t="shared" si="30"/>
        <v>0</v>
      </c>
      <c r="AZ58" s="51">
        <f t="shared" si="30"/>
        <v>0</v>
      </c>
      <c r="BA58" s="51">
        <f t="shared" si="30"/>
        <v>0</v>
      </c>
      <c r="BB58" s="51">
        <f t="shared" si="30"/>
        <v>0</v>
      </c>
      <c r="BC58" s="51">
        <f t="shared" si="30"/>
        <v>0</v>
      </c>
      <c r="BD58" s="51">
        <f t="shared" si="30"/>
        <v>0</v>
      </c>
      <c r="BE58" s="51">
        <f t="shared" si="30"/>
        <v>0</v>
      </c>
      <c r="BF58" s="51">
        <f t="shared" si="30"/>
        <v>0</v>
      </c>
      <c r="BG58" s="51">
        <f t="shared" si="30"/>
        <v>0</v>
      </c>
      <c r="BH58" s="51">
        <f t="shared" si="30"/>
        <v>0</v>
      </c>
      <c r="BI58" s="51">
        <f t="shared" si="30"/>
        <v>0</v>
      </c>
      <c r="BJ58" s="51">
        <f t="shared" si="30"/>
        <v>0</v>
      </c>
      <c r="BK58" s="51">
        <f t="shared" si="30"/>
        <v>0</v>
      </c>
      <c r="BL58" s="51">
        <f t="shared" si="30"/>
        <v>0</v>
      </c>
      <c r="BM58" s="51">
        <f t="shared" si="30"/>
        <v>0</v>
      </c>
      <c r="BN58" s="51">
        <f t="shared" si="30"/>
        <v>0</v>
      </c>
    </row>
    <row r="59" spans="1:66" x14ac:dyDescent="0.35">
      <c r="A59" t="s">
        <v>26</v>
      </c>
      <c r="D59" s="51">
        <f t="shared" ref="D59:BN59" si="31">D43-C43</f>
        <v>0</v>
      </c>
      <c r="E59" s="51">
        <f t="shared" si="31"/>
        <v>0</v>
      </c>
      <c r="F59" s="51">
        <f t="shared" si="31"/>
        <v>0</v>
      </c>
      <c r="G59" s="51">
        <f t="shared" si="31"/>
        <v>0</v>
      </c>
      <c r="H59" s="51">
        <f t="shared" si="31"/>
        <v>0</v>
      </c>
      <c r="I59" s="51">
        <f t="shared" si="31"/>
        <v>0</v>
      </c>
      <c r="J59" s="51">
        <f t="shared" si="31"/>
        <v>0</v>
      </c>
      <c r="K59" s="51">
        <f t="shared" si="31"/>
        <v>33.869</v>
      </c>
      <c r="L59" s="51">
        <f t="shared" si="31"/>
        <v>44.828000000000003</v>
      </c>
      <c r="M59" s="51">
        <f t="shared" si="31"/>
        <v>50.710000000000008</v>
      </c>
      <c r="N59" s="51">
        <f t="shared" si="31"/>
        <v>112.03200000000001</v>
      </c>
      <c r="O59" s="51">
        <f t="shared" si="31"/>
        <v>191.83799999999997</v>
      </c>
      <c r="P59" s="51">
        <f t="shared" si="31"/>
        <v>75.762999999999977</v>
      </c>
      <c r="Q59" s="51">
        <f t="shared" si="31"/>
        <v>34.474000000000046</v>
      </c>
      <c r="R59" s="51">
        <f t="shared" si="31"/>
        <v>57.519999999999982</v>
      </c>
      <c r="S59" s="51">
        <f t="shared" si="31"/>
        <v>56.955999999999904</v>
      </c>
      <c r="T59" s="51">
        <f t="shared" si="31"/>
        <v>22.772000000000048</v>
      </c>
      <c r="U59" s="51">
        <f t="shared" si="31"/>
        <v>20.301999999999907</v>
      </c>
      <c r="V59" s="51">
        <f t="shared" si="31"/>
        <v>0</v>
      </c>
      <c r="W59" s="51">
        <f t="shared" si="31"/>
        <v>24.248000000000047</v>
      </c>
      <c r="X59" s="51">
        <f t="shared" si="31"/>
        <v>34.618000000000052</v>
      </c>
      <c r="Y59" s="51">
        <f t="shared" si="31"/>
        <v>65.290000000000077</v>
      </c>
      <c r="Z59" s="51">
        <f t="shared" si="31"/>
        <v>35.272999999999911</v>
      </c>
      <c r="AA59" s="51">
        <f t="shared" si="31"/>
        <v>0</v>
      </c>
      <c r="AB59" s="51">
        <f t="shared" si="31"/>
        <v>0</v>
      </c>
      <c r="AC59" s="51">
        <f t="shared" si="31"/>
        <v>34.538000000000011</v>
      </c>
      <c r="AD59" s="51">
        <f t="shared" si="31"/>
        <v>0</v>
      </c>
      <c r="AE59" s="51">
        <f t="shared" si="31"/>
        <v>0</v>
      </c>
      <c r="AF59" s="51">
        <f t="shared" si="31"/>
        <v>309.82099999999991</v>
      </c>
      <c r="AG59" s="51">
        <f t="shared" si="31"/>
        <v>216.89300000000026</v>
      </c>
      <c r="AH59" s="51">
        <f t="shared" si="31"/>
        <v>152.86799999999994</v>
      </c>
      <c r="AI59" s="51">
        <f t="shared" si="31"/>
        <v>326.60000000000014</v>
      </c>
      <c r="AJ59" s="51">
        <f t="shared" si="31"/>
        <v>0</v>
      </c>
      <c r="AK59" s="51">
        <f t="shared" si="31"/>
        <v>0</v>
      </c>
      <c r="AL59" s="51">
        <f t="shared" si="31"/>
        <v>0</v>
      </c>
      <c r="AM59" s="51">
        <f t="shared" si="31"/>
        <v>0</v>
      </c>
      <c r="AN59" s="51">
        <f t="shared" si="31"/>
        <v>0</v>
      </c>
      <c r="AO59" s="51">
        <f t="shared" si="31"/>
        <v>0</v>
      </c>
      <c r="AP59" s="51">
        <f t="shared" si="31"/>
        <v>0</v>
      </c>
      <c r="AQ59" s="51">
        <f t="shared" si="31"/>
        <v>0</v>
      </c>
      <c r="AR59" s="51">
        <f t="shared" si="31"/>
        <v>0</v>
      </c>
      <c r="AS59" s="51">
        <f t="shared" si="31"/>
        <v>0</v>
      </c>
      <c r="AT59" s="51">
        <f t="shared" si="31"/>
        <v>0</v>
      </c>
      <c r="AU59" s="51">
        <f t="shared" si="31"/>
        <v>0</v>
      </c>
      <c r="AV59" s="51">
        <f t="shared" si="31"/>
        <v>0</v>
      </c>
      <c r="AW59" s="51">
        <f t="shared" si="31"/>
        <v>0</v>
      </c>
      <c r="AX59" s="51">
        <f t="shared" si="31"/>
        <v>0</v>
      </c>
      <c r="AY59" s="51">
        <f t="shared" si="31"/>
        <v>0</v>
      </c>
      <c r="AZ59" s="51">
        <f t="shared" si="31"/>
        <v>0</v>
      </c>
      <c r="BA59" s="51">
        <f t="shared" si="31"/>
        <v>0</v>
      </c>
      <c r="BB59" s="51">
        <f t="shared" si="31"/>
        <v>0</v>
      </c>
      <c r="BC59" s="51">
        <f t="shared" si="31"/>
        <v>0</v>
      </c>
      <c r="BD59" s="51">
        <f t="shared" si="31"/>
        <v>0</v>
      </c>
      <c r="BE59" s="51">
        <f t="shared" si="31"/>
        <v>0</v>
      </c>
      <c r="BF59" s="51">
        <f t="shared" si="31"/>
        <v>0</v>
      </c>
      <c r="BG59" s="51">
        <f t="shared" si="31"/>
        <v>0</v>
      </c>
      <c r="BH59" s="51">
        <f t="shared" si="31"/>
        <v>0</v>
      </c>
      <c r="BI59" s="51">
        <f t="shared" si="31"/>
        <v>0</v>
      </c>
      <c r="BJ59" s="51">
        <f t="shared" si="31"/>
        <v>0</v>
      </c>
      <c r="BK59" s="51">
        <f t="shared" si="31"/>
        <v>0</v>
      </c>
      <c r="BL59" s="51">
        <f t="shared" si="31"/>
        <v>0</v>
      </c>
      <c r="BM59" s="51">
        <f t="shared" si="31"/>
        <v>0</v>
      </c>
      <c r="BN59" s="51">
        <f t="shared" si="31"/>
        <v>0</v>
      </c>
    </row>
    <row r="60" spans="1:66" x14ac:dyDescent="0.35">
      <c r="A60" t="s">
        <v>27</v>
      </c>
      <c r="D60" s="51">
        <f t="shared" ref="D60:BN60" si="32">D44-C44</f>
        <v>0</v>
      </c>
      <c r="E60" s="51">
        <f t="shared" si="32"/>
        <v>0</v>
      </c>
      <c r="F60" s="51">
        <f t="shared" si="32"/>
        <v>0</v>
      </c>
      <c r="G60" s="51">
        <f t="shared" si="32"/>
        <v>0</v>
      </c>
      <c r="H60" s="51">
        <f t="shared" si="32"/>
        <v>0</v>
      </c>
      <c r="I60" s="51">
        <f t="shared" si="32"/>
        <v>0</v>
      </c>
      <c r="J60" s="51">
        <f t="shared" si="32"/>
        <v>0</v>
      </c>
      <c r="K60" s="51">
        <f t="shared" si="32"/>
        <v>33.869</v>
      </c>
      <c r="L60" s="51">
        <f t="shared" si="32"/>
        <v>44.828000000000003</v>
      </c>
      <c r="M60" s="51">
        <f t="shared" si="32"/>
        <v>50.710000000000008</v>
      </c>
      <c r="N60" s="51">
        <f t="shared" si="32"/>
        <v>112.03200000000001</v>
      </c>
      <c r="O60" s="51">
        <f t="shared" si="32"/>
        <v>191.83799999999997</v>
      </c>
      <c r="P60" s="51">
        <f t="shared" si="32"/>
        <v>75.762999999999977</v>
      </c>
      <c r="Q60" s="51">
        <f t="shared" si="32"/>
        <v>34.474000000000046</v>
      </c>
      <c r="R60" s="51">
        <f t="shared" si="32"/>
        <v>57.519999999999982</v>
      </c>
      <c r="S60" s="51">
        <f t="shared" si="32"/>
        <v>56.955999999999904</v>
      </c>
      <c r="T60" s="51">
        <f t="shared" si="32"/>
        <v>22.772000000000048</v>
      </c>
      <c r="U60" s="51">
        <f t="shared" si="32"/>
        <v>20.301999999999907</v>
      </c>
      <c r="V60" s="51">
        <f t="shared" si="32"/>
        <v>0</v>
      </c>
      <c r="W60" s="51">
        <f t="shared" si="32"/>
        <v>24.248000000000047</v>
      </c>
      <c r="X60" s="51">
        <f t="shared" si="32"/>
        <v>34.618000000000052</v>
      </c>
      <c r="Y60" s="51">
        <f t="shared" si="32"/>
        <v>65.290000000000077</v>
      </c>
      <c r="Z60" s="51">
        <f t="shared" si="32"/>
        <v>35.272999999999911</v>
      </c>
      <c r="AA60" s="51">
        <f t="shared" si="32"/>
        <v>0</v>
      </c>
      <c r="AB60" s="51">
        <f t="shared" si="32"/>
        <v>0</v>
      </c>
      <c r="AC60" s="51">
        <f t="shared" si="32"/>
        <v>34.538000000000011</v>
      </c>
      <c r="AD60" s="51">
        <f t="shared" si="32"/>
        <v>0</v>
      </c>
      <c r="AE60" s="51">
        <f t="shared" si="32"/>
        <v>0</v>
      </c>
      <c r="AF60" s="51">
        <f t="shared" si="32"/>
        <v>309.82099999999991</v>
      </c>
      <c r="AG60" s="51">
        <f t="shared" si="32"/>
        <v>216.89300000000026</v>
      </c>
      <c r="AH60" s="51">
        <f t="shared" si="32"/>
        <v>152.86799999999994</v>
      </c>
      <c r="AI60" s="51">
        <f t="shared" si="32"/>
        <v>326.60000000000014</v>
      </c>
      <c r="AJ60" s="51">
        <f t="shared" si="32"/>
        <v>0</v>
      </c>
      <c r="AK60" s="51">
        <f t="shared" si="32"/>
        <v>0</v>
      </c>
      <c r="AL60" s="51">
        <f t="shared" si="32"/>
        <v>0</v>
      </c>
      <c r="AM60" s="51">
        <f t="shared" si="32"/>
        <v>0</v>
      </c>
      <c r="AN60" s="51">
        <f t="shared" si="32"/>
        <v>0</v>
      </c>
      <c r="AO60" s="51">
        <f t="shared" si="32"/>
        <v>0</v>
      </c>
      <c r="AP60" s="51">
        <f t="shared" si="32"/>
        <v>0</v>
      </c>
      <c r="AQ60" s="51">
        <f t="shared" si="32"/>
        <v>0</v>
      </c>
      <c r="AR60" s="51">
        <f t="shared" si="32"/>
        <v>0</v>
      </c>
      <c r="AS60" s="51">
        <f t="shared" si="32"/>
        <v>0</v>
      </c>
      <c r="AT60" s="51">
        <f t="shared" si="32"/>
        <v>0</v>
      </c>
      <c r="AU60" s="51">
        <f t="shared" si="32"/>
        <v>0</v>
      </c>
      <c r="AV60" s="51">
        <f t="shared" si="32"/>
        <v>0</v>
      </c>
      <c r="AW60" s="51">
        <f t="shared" si="32"/>
        <v>0</v>
      </c>
      <c r="AX60" s="51">
        <f t="shared" si="32"/>
        <v>0</v>
      </c>
      <c r="AY60" s="51">
        <f t="shared" si="32"/>
        <v>0</v>
      </c>
      <c r="AZ60" s="51">
        <f t="shared" si="32"/>
        <v>0</v>
      </c>
      <c r="BA60" s="51">
        <f t="shared" si="32"/>
        <v>0</v>
      </c>
      <c r="BB60" s="51">
        <f t="shared" si="32"/>
        <v>0</v>
      </c>
      <c r="BC60" s="51">
        <f t="shared" si="32"/>
        <v>0</v>
      </c>
      <c r="BD60" s="51">
        <f t="shared" si="32"/>
        <v>0</v>
      </c>
      <c r="BE60" s="51">
        <f t="shared" si="32"/>
        <v>0</v>
      </c>
      <c r="BF60" s="51">
        <f t="shared" si="32"/>
        <v>0</v>
      </c>
      <c r="BG60" s="51">
        <f t="shared" si="32"/>
        <v>0</v>
      </c>
      <c r="BH60" s="51">
        <f t="shared" si="32"/>
        <v>0</v>
      </c>
      <c r="BI60" s="51">
        <f t="shared" si="32"/>
        <v>0</v>
      </c>
      <c r="BJ60" s="51">
        <f t="shared" si="32"/>
        <v>0</v>
      </c>
      <c r="BK60" s="51">
        <f t="shared" si="32"/>
        <v>0</v>
      </c>
      <c r="BL60" s="51">
        <f t="shared" si="32"/>
        <v>0</v>
      </c>
      <c r="BM60" s="51">
        <f t="shared" si="32"/>
        <v>0</v>
      </c>
      <c r="BN60" s="51">
        <f t="shared" si="32"/>
        <v>0</v>
      </c>
    </row>
    <row r="61" spans="1:66" x14ac:dyDescent="0.35">
      <c r="A61" t="s">
        <v>22</v>
      </c>
      <c r="D61" s="51">
        <f t="shared" ref="D61:BN61" si="33">D45-C45</f>
        <v>0</v>
      </c>
      <c r="E61" s="51">
        <f t="shared" si="33"/>
        <v>0</v>
      </c>
      <c r="F61" s="51">
        <f t="shared" si="33"/>
        <v>0</v>
      </c>
      <c r="G61" s="51">
        <f t="shared" si="33"/>
        <v>0</v>
      </c>
      <c r="H61" s="51">
        <f t="shared" si="33"/>
        <v>0</v>
      </c>
      <c r="I61" s="51">
        <f t="shared" si="33"/>
        <v>0</v>
      </c>
      <c r="J61" s="51">
        <f t="shared" si="33"/>
        <v>0</v>
      </c>
      <c r="K61" s="51">
        <f t="shared" si="33"/>
        <v>33.869</v>
      </c>
      <c r="L61" s="51">
        <f t="shared" si="33"/>
        <v>44.828000000000003</v>
      </c>
      <c r="M61" s="51">
        <f t="shared" si="33"/>
        <v>50.710000000000008</v>
      </c>
      <c r="N61" s="51">
        <f t="shared" si="33"/>
        <v>112.03200000000001</v>
      </c>
      <c r="O61" s="51">
        <f t="shared" si="33"/>
        <v>191.83799999999997</v>
      </c>
      <c r="P61" s="51">
        <f t="shared" si="33"/>
        <v>75.762999999999977</v>
      </c>
      <c r="Q61" s="51">
        <f t="shared" si="33"/>
        <v>34.474000000000046</v>
      </c>
      <c r="R61" s="51">
        <f t="shared" si="33"/>
        <v>57.519999999999982</v>
      </c>
      <c r="S61" s="51">
        <f t="shared" si="33"/>
        <v>56.955999999999904</v>
      </c>
      <c r="T61" s="51">
        <f t="shared" si="33"/>
        <v>22.772000000000048</v>
      </c>
      <c r="U61" s="51">
        <f t="shared" si="33"/>
        <v>20.301999999999907</v>
      </c>
      <c r="V61" s="51">
        <f t="shared" si="33"/>
        <v>0</v>
      </c>
      <c r="W61" s="51">
        <f t="shared" si="33"/>
        <v>24.248000000000047</v>
      </c>
      <c r="X61" s="51">
        <f t="shared" si="33"/>
        <v>34.618000000000052</v>
      </c>
      <c r="Y61" s="51">
        <f t="shared" si="33"/>
        <v>65.290000000000077</v>
      </c>
      <c r="Z61" s="51">
        <f t="shared" si="33"/>
        <v>35.272999999999911</v>
      </c>
      <c r="AA61" s="51">
        <f t="shared" si="33"/>
        <v>0</v>
      </c>
      <c r="AB61" s="51">
        <f t="shared" si="33"/>
        <v>0</v>
      </c>
      <c r="AC61" s="51">
        <f t="shared" si="33"/>
        <v>34.538000000000011</v>
      </c>
      <c r="AD61" s="51">
        <f t="shared" si="33"/>
        <v>0</v>
      </c>
      <c r="AE61" s="51">
        <f t="shared" si="33"/>
        <v>0</v>
      </c>
      <c r="AF61" s="51">
        <f t="shared" si="33"/>
        <v>309.82099999999991</v>
      </c>
      <c r="AG61" s="51">
        <f t="shared" si="33"/>
        <v>216.89300000000026</v>
      </c>
      <c r="AH61" s="51">
        <f t="shared" si="33"/>
        <v>152.86800000000017</v>
      </c>
      <c r="AI61" s="51">
        <f t="shared" si="33"/>
        <v>326.59999999999991</v>
      </c>
      <c r="AJ61" s="51">
        <f t="shared" si="33"/>
        <v>0</v>
      </c>
      <c r="AK61" s="51">
        <f t="shared" si="33"/>
        <v>0</v>
      </c>
      <c r="AL61" s="51">
        <f t="shared" si="33"/>
        <v>0</v>
      </c>
      <c r="AM61" s="51">
        <f t="shared" si="33"/>
        <v>0</v>
      </c>
      <c r="AN61" s="51">
        <f t="shared" si="33"/>
        <v>0</v>
      </c>
      <c r="AO61" s="51">
        <f t="shared" si="33"/>
        <v>0</v>
      </c>
      <c r="AP61" s="51">
        <f t="shared" si="33"/>
        <v>0</v>
      </c>
      <c r="AQ61" s="51">
        <f t="shared" si="33"/>
        <v>0</v>
      </c>
      <c r="AR61" s="51">
        <f t="shared" si="33"/>
        <v>0</v>
      </c>
      <c r="AS61" s="51">
        <f t="shared" si="33"/>
        <v>0</v>
      </c>
      <c r="AT61" s="51">
        <f t="shared" si="33"/>
        <v>0</v>
      </c>
      <c r="AU61" s="51">
        <f t="shared" si="33"/>
        <v>0</v>
      </c>
      <c r="AV61" s="51">
        <f t="shared" si="33"/>
        <v>0</v>
      </c>
      <c r="AW61" s="51">
        <f t="shared" si="33"/>
        <v>0</v>
      </c>
      <c r="AX61" s="51">
        <f t="shared" si="33"/>
        <v>0</v>
      </c>
      <c r="AY61" s="51">
        <f t="shared" si="33"/>
        <v>0</v>
      </c>
      <c r="AZ61" s="51">
        <f t="shared" si="33"/>
        <v>0</v>
      </c>
      <c r="BA61" s="51">
        <f t="shared" si="33"/>
        <v>0</v>
      </c>
      <c r="BB61" s="51">
        <f t="shared" si="33"/>
        <v>0</v>
      </c>
      <c r="BC61" s="51">
        <f t="shared" si="33"/>
        <v>0</v>
      </c>
      <c r="BD61" s="51">
        <f t="shared" si="33"/>
        <v>0</v>
      </c>
      <c r="BE61" s="51">
        <f t="shared" si="33"/>
        <v>0</v>
      </c>
      <c r="BF61" s="51">
        <f t="shared" si="33"/>
        <v>0</v>
      </c>
      <c r="BG61" s="51">
        <f t="shared" si="33"/>
        <v>0</v>
      </c>
      <c r="BH61" s="51">
        <f t="shared" si="33"/>
        <v>0</v>
      </c>
      <c r="BI61" s="51">
        <f t="shared" si="33"/>
        <v>0</v>
      </c>
      <c r="BJ61" s="51">
        <f t="shared" si="33"/>
        <v>0</v>
      </c>
      <c r="BK61" s="51">
        <f t="shared" si="33"/>
        <v>0</v>
      </c>
      <c r="BL61" s="51">
        <f t="shared" si="33"/>
        <v>0</v>
      </c>
      <c r="BM61" s="51">
        <f t="shared" si="33"/>
        <v>0</v>
      </c>
      <c r="BN61" s="51">
        <f t="shared" si="33"/>
        <v>0</v>
      </c>
    </row>
    <row r="62" spans="1:66" x14ac:dyDescent="0.35">
      <c r="A62" t="s">
        <v>24</v>
      </c>
      <c r="D62" s="51">
        <f t="shared" ref="D62:BN62" si="34">D46-C46</f>
        <v>0</v>
      </c>
      <c r="E62" s="51">
        <f t="shared" si="34"/>
        <v>0</v>
      </c>
      <c r="F62" s="51">
        <f t="shared" si="34"/>
        <v>0</v>
      </c>
      <c r="G62" s="51">
        <f t="shared" si="34"/>
        <v>0</v>
      </c>
      <c r="H62" s="51">
        <f t="shared" si="34"/>
        <v>0</v>
      </c>
      <c r="I62" s="51">
        <f t="shared" si="34"/>
        <v>0</v>
      </c>
      <c r="J62" s="51">
        <f t="shared" si="34"/>
        <v>0</v>
      </c>
      <c r="K62" s="51">
        <f t="shared" si="34"/>
        <v>0</v>
      </c>
      <c r="L62" s="51">
        <f t="shared" si="34"/>
        <v>0</v>
      </c>
      <c r="M62" s="51">
        <f t="shared" si="34"/>
        <v>0</v>
      </c>
      <c r="N62" s="51">
        <f t="shared" si="34"/>
        <v>0</v>
      </c>
      <c r="O62" s="51">
        <f t="shared" si="34"/>
        <v>0</v>
      </c>
      <c r="P62" s="51">
        <f t="shared" si="34"/>
        <v>0</v>
      </c>
      <c r="Q62" s="51">
        <f t="shared" si="34"/>
        <v>0</v>
      </c>
      <c r="R62" s="51">
        <f t="shared" si="34"/>
        <v>0</v>
      </c>
      <c r="S62" s="51">
        <f t="shared" si="34"/>
        <v>0</v>
      </c>
      <c r="T62" s="51">
        <f t="shared" si="34"/>
        <v>0</v>
      </c>
      <c r="U62" s="51">
        <f t="shared" si="34"/>
        <v>0</v>
      </c>
      <c r="V62" s="51">
        <f t="shared" si="34"/>
        <v>0</v>
      </c>
      <c r="W62" s="51">
        <f t="shared" si="34"/>
        <v>0</v>
      </c>
      <c r="X62" s="51">
        <f t="shared" si="34"/>
        <v>0</v>
      </c>
      <c r="Y62" s="51">
        <f t="shared" si="34"/>
        <v>0</v>
      </c>
      <c r="Z62" s="51">
        <f t="shared" si="34"/>
        <v>0</v>
      </c>
      <c r="AA62" s="51">
        <f t="shared" si="34"/>
        <v>0</v>
      </c>
      <c r="AB62" s="51">
        <f t="shared" si="34"/>
        <v>0</v>
      </c>
      <c r="AC62" s="51">
        <f t="shared" si="34"/>
        <v>0</v>
      </c>
      <c r="AD62" s="51">
        <f t="shared" si="34"/>
        <v>0</v>
      </c>
      <c r="AE62" s="51">
        <f t="shared" si="34"/>
        <v>171.6</v>
      </c>
      <c r="AF62" s="51">
        <f t="shared" si="34"/>
        <v>0</v>
      </c>
      <c r="AG62" s="51">
        <f t="shared" si="34"/>
        <v>0</v>
      </c>
      <c r="AH62" s="51">
        <f t="shared" si="34"/>
        <v>0</v>
      </c>
      <c r="AI62" s="51">
        <f t="shared" si="34"/>
        <v>0</v>
      </c>
      <c r="AJ62" s="51">
        <f t="shared" si="34"/>
        <v>0</v>
      </c>
      <c r="AK62" s="51">
        <f t="shared" si="34"/>
        <v>0</v>
      </c>
      <c r="AL62" s="51">
        <f t="shared" si="34"/>
        <v>0</v>
      </c>
      <c r="AM62" s="51">
        <f t="shared" si="34"/>
        <v>0</v>
      </c>
      <c r="AN62" s="51">
        <f t="shared" si="34"/>
        <v>0</v>
      </c>
      <c r="AO62" s="51">
        <f t="shared" si="34"/>
        <v>0</v>
      </c>
      <c r="AP62" s="51">
        <f t="shared" si="34"/>
        <v>0</v>
      </c>
      <c r="AQ62" s="51">
        <f t="shared" si="34"/>
        <v>0</v>
      </c>
      <c r="AR62" s="51">
        <f t="shared" si="34"/>
        <v>0</v>
      </c>
      <c r="AS62" s="51">
        <f t="shared" si="34"/>
        <v>0</v>
      </c>
      <c r="AT62" s="51">
        <f t="shared" si="34"/>
        <v>0</v>
      </c>
      <c r="AU62" s="51">
        <f t="shared" si="34"/>
        <v>0</v>
      </c>
      <c r="AV62" s="51">
        <f t="shared" si="34"/>
        <v>0</v>
      </c>
      <c r="AW62" s="51">
        <f t="shared" si="34"/>
        <v>0</v>
      </c>
      <c r="AX62" s="51">
        <f t="shared" si="34"/>
        <v>0</v>
      </c>
      <c r="AY62" s="51">
        <f t="shared" si="34"/>
        <v>0</v>
      </c>
      <c r="AZ62" s="51">
        <f t="shared" si="34"/>
        <v>0</v>
      </c>
      <c r="BA62" s="51">
        <f t="shared" si="34"/>
        <v>0</v>
      </c>
      <c r="BB62" s="51">
        <f t="shared" si="34"/>
        <v>0</v>
      </c>
      <c r="BC62" s="51">
        <f t="shared" si="34"/>
        <v>0</v>
      </c>
      <c r="BD62" s="51">
        <f t="shared" si="34"/>
        <v>0</v>
      </c>
      <c r="BE62" s="51">
        <f t="shared" si="34"/>
        <v>0</v>
      </c>
      <c r="BF62" s="51">
        <f t="shared" si="34"/>
        <v>0</v>
      </c>
      <c r="BG62" s="51">
        <f t="shared" si="34"/>
        <v>0</v>
      </c>
      <c r="BH62" s="51">
        <f t="shared" si="34"/>
        <v>0</v>
      </c>
      <c r="BI62" s="51">
        <f t="shared" si="34"/>
        <v>0</v>
      </c>
      <c r="BJ62" s="51">
        <f t="shared" si="34"/>
        <v>0</v>
      </c>
      <c r="BK62" s="51">
        <f t="shared" si="34"/>
        <v>0</v>
      </c>
      <c r="BL62" s="51">
        <f t="shared" si="34"/>
        <v>0</v>
      </c>
      <c r="BM62" s="51">
        <f t="shared" si="34"/>
        <v>0</v>
      </c>
      <c r="BN62" s="51">
        <f t="shared" si="34"/>
        <v>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J22"/>
  <sheetViews>
    <sheetView tabSelected="1" zoomScale="70" zoomScaleNormal="70" workbookViewId="0">
      <selection activeCell="G36" sqref="G36"/>
    </sheetView>
  </sheetViews>
  <sheetFormatPr defaultColWidth="12.1796875" defaultRowHeight="14.5" x14ac:dyDescent="0.35"/>
  <cols>
    <col min="1" max="1" width="36.81640625" style="2" bestFit="1" customWidth="1"/>
    <col min="12" max="36" width="12.1796875" hidden="1" customWidth="1"/>
    <col min="37" max="40" width="0" hidden="1" customWidth="1"/>
  </cols>
  <sheetData>
    <row r="1" spans="1:36" ht="23.25" customHeight="1" thickBot="1" x14ac:dyDescent="0.5">
      <c r="A1" s="83" t="s">
        <v>28</v>
      </c>
      <c r="B1" s="84"/>
      <c r="C1" s="84"/>
      <c r="D1" s="84"/>
      <c r="E1" s="84"/>
      <c r="F1" s="84"/>
      <c r="G1" s="84"/>
      <c r="H1" s="84"/>
      <c r="I1" s="84"/>
      <c r="J1" s="84"/>
      <c r="K1" s="85"/>
    </row>
    <row r="2" spans="1:36" ht="16" customHeight="1" thickBot="1" x14ac:dyDescent="0.4">
      <c r="A2" s="90" t="s">
        <v>29</v>
      </c>
      <c r="B2" s="90"/>
      <c r="C2" s="90"/>
      <c r="D2" s="90"/>
      <c r="E2" s="86" t="s">
        <v>30</v>
      </c>
      <c r="F2" s="86"/>
      <c r="G2" s="86"/>
      <c r="H2" s="86"/>
      <c r="I2" s="86"/>
      <c r="J2" s="86"/>
      <c r="K2" s="86"/>
    </row>
    <row r="3" spans="1:36" ht="16" customHeight="1" thickBot="1" x14ac:dyDescent="0.4">
      <c r="A3" s="90" t="s">
        <v>31</v>
      </c>
      <c r="B3" s="90"/>
      <c r="C3" s="90"/>
      <c r="D3" s="90"/>
      <c r="E3" s="86" t="s">
        <v>32</v>
      </c>
      <c r="F3" s="86"/>
      <c r="G3" s="86"/>
      <c r="H3" s="86"/>
      <c r="I3" s="86"/>
      <c r="J3" s="86"/>
      <c r="K3" s="86"/>
    </row>
    <row r="4" spans="1:36" ht="16" customHeight="1" thickBot="1" x14ac:dyDescent="0.4">
      <c r="A4" s="90" t="s">
        <v>33</v>
      </c>
      <c r="B4" s="90"/>
      <c r="C4" s="90"/>
      <c r="D4" s="90"/>
      <c r="E4" s="87">
        <v>170.07900000000001</v>
      </c>
      <c r="F4" s="87"/>
      <c r="G4" s="87"/>
      <c r="H4" s="87"/>
      <c r="I4" s="87"/>
      <c r="J4" s="87"/>
      <c r="K4" s="87"/>
    </row>
    <row r="5" spans="1:36" ht="32.15" customHeight="1" thickBot="1" x14ac:dyDescent="0.4">
      <c r="A5" s="89" t="s">
        <v>34</v>
      </c>
      <c r="B5" s="89"/>
      <c r="C5" s="89"/>
      <c r="D5" s="89"/>
      <c r="E5" s="88">
        <v>48580</v>
      </c>
      <c r="F5" s="86"/>
      <c r="G5" s="86"/>
      <c r="H5" s="86"/>
      <c r="I5" s="86"/>
      <c r="J5" s="86"/>
      <c r="K5" s="86"/>
    </row>
    <row r="6" spans="1:36" ht="16" customHeight="1" thickBot="1" x14ac:dyDescent="0.4">
      <c r="A6" s="90" t="s">
        <v>35</v>
      </c>
      <c r="B6" s="90"/>
      <c r="C6" s="90"/>
      <c r="D6" s="90"/>
      <c r="E6" s="86" t="s">
        <v>36</v>
      </c>
      <c r="F6" s="86"/>
      <c r="G6" s="86"/>
      <c r="H6" s="86"/>
      <c r="I6" s="86"/>
      <c r="J6" s="86"/>
      <c r="K6" s="86"/>
    </row>
    <row r="7" spans="1:36" ht="31" customHeight="1" thickBot="1" x14ac:dyDescent="0.4">
      <c r="A7" s="3" t="s">
        <v>37</v>
      </c>
      <c r="B7" s="12">
        <v>48192</v>
      </c>
      <c r="C7" s="12">
        <v>50019</v>
      </c>
      <c r="D7" s="12">
        <v>52210</v>
      </c>
      <c r="E7" s="12">
        <v>54036</v>
      </c>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row>
    <row r="8" spans="1:36" ht="31" customHeight="1" thickBot="1" x14ac:dyDescent="0.4">
      <c r="A8" s="78" t="s">
        <v>38</v>
      </c>
      <c r="B8" s="79">
        <v>39.868000000000002</v>
      </c>
      <c r="C8" s="79">
        <v>70.251000000000005</v>
      </c>
      <c r="D8" s="81">
        <v>135.541</v>
      </c>
      <c r="E8" s="79">
        <v>170.07900000000001</v>
      </c>
      <c r="F8" s="79"/>
      <c r="G8" s="79"/>
      <c r="H8" s="79"/>
      <c r="I8" s="79"/>
      <c r="J8" s="79"/>
      <c r="K8" s="82"/>
      <c r="L8" s="81"/>
      <c r="M8" s="79"/>
      <c r="N8" s="79"/>
      <c r="O8" s="79"/>
      <c r="P8" s="81"/>
      <c r="Q8" s="79"/>
      <c r="R8" s="79"/>
      <c r="S8" s="79"/>
      <c r="T8" s="79"/>
      <c r="U8" s="79"/>
      <c r="V8" s="79"/>
      <c r="W8" s="79"/>
      <c r="X8" s="79"/>
      <c r="Y8" s="81"/>
      <c r="Z8" s="79"/>
      <c r="AA8" s="79"/>
      <c r="AB8" s="79"/>
      <c r="AC8" s="79"/>
      <c r="AD8" s="79"/>
      <c r="AE8" s="79"/>
      <c r="AF8" s="79"/>
      <c r="AG8" s="79"/>
      <c r="AH8" s="79"/>
      <c r="AI8" s="79"/>
      <c r="AJ8" s="79"/>
    </row>
    <row r="9" spans="1:36" ht="31" customHeight="1" thickBot="1" x14ac:dyDescent="0.4">
      <c r="A9" s="55" t="s">
        <v>39</v>
      </c>
      <c r="B9" s="56">
        <v>50019</v>
      </c>
      <c r="C9" s="56">
        <v>51845</v>
      </c>
      <c r="D9" s="56">
        <v>54036</v>
      </c>
      <c r="E9" s="56">
        <v>55497</v>
      </c>
      <c r="F9" s="56">
        <v>57324</v>
      </c>
      <c r="G9" s="56">
        <v>59150</v>
      </c>
      <c r="H9" s="56">
        <v>61341</v>
      </c>
      <c r="I9" s="56">
        <v>62802</v>
      </c>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row>
    <row r="10" spans="1:36" s="11" customFormat="1" ht="15" thickBot="1" x14ac:dyDescent="0.4">
      <c r="A10" s="1" t="s">
        <v>40</v>
      </c>
      <c r="B10" s="91" t="s">
        <v>41</v>
      </c>
      <c r="C10" s="92"/>
      <c r="D10" s="92"/>
      <c r="E10" s="92"/>
      <c r="F10" s="92"/>
      <c r="G10" s="92"/>
      <c r="H10" s="92"/>
      <c r="I10" s="92"/>
      <c r="J10" s="92"/>
      <c r="K10" s="93"/>
    </row>
    <row r="11" spans="1:36" ht="15" thickBot="1" x14ac:dyDescent="0.4">
      <c r="A11" s="27" t="s">
        <v>7</v>
      </c>
      <c r="B11" s="31">
        <v>39.868000000000002</v>
      </c>
      <c r="C11" s="31">
        <v>70.251000000000005</v>
      </c>
      <c r="D11" s="31">
        <v>135.541</v>
      </c>
      <c r="E11" s="31">
        <v>170.07900000000001</v>
      </c>
      <c r="F11" s="68">
        <f>Table3[[#This Row],[Column5]]</f>
        <v>170.07900000000001</v>
      </c>
      <c r="G11" s="68">
        <f>Table3[[#This Row],[Column6]]</f>
        <v>170.07900000000001</v>
      </c>
      <c r="H11" s="68">
        <f>Table3[[#This Row],[Column7]]</f>
        <v>170.07900000000001</v>
      </c>
      <c r="I11" s="68">
        <f>Table3[[#This Row],[Column8]]</f>
        <v>170.07900000000001</v>
      </c>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row>
    <row r="12" spans="1:36" ht="15" thickBot="1" x14ac:dyDescent="0.4">
      <c r="A12" s="27" t="s">
        <v>9</v>
      </c>
      <c r="B12" s="31">
        <v>39.868000000000002</v>
      </c>
      <c r="C12" s="31">
        <v>70.251000000000005</v>
      </c>
      <c r="D12" s="31">
        <v>135.541</v>
      </c>
      <c r="E12" s="31">
        <v>170.07900000000001</v>
      </c>
      <c r="F12" s="68">
        <f>Table3[[#This Row],[Column5]]</f>
        <v>170.07900000000001</v>
      </c>
      <c r="G12" s="68">
        <f>Table3[[#This Row],[Column6]]</f>
        <v>170.07900000000001</v>
      </c>
      <c r="H12" s="68">
        <f>Table3[[#This Row],[Column7]]</f>
        <v>170.07900000000001</v>
      </c>
      <c r="I12" s="68">
        <f>Table3[[#This Row],[Column8]]</f>
        <v>170.07900000000001</v>
      </c>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row>
    <row r="13" spans="1:36" ht="15" thickBot="1" x14ac:dyDescent="0.4">
      <c r="A13" s="27" t="s">
        <v>11</v>
      </c>
      <c r="B13" s="31">
        <v>39.868000000000002</v>
      </c>
      <c r="C13" s="31">
        <v>70.251000000000005</v>
      </c>
      <c r="D13" s="31">
        <v>135.541</v>
      </c>
      <c r="E13" s="31">
        <v>170.07900000000001</v>
      </c>
      <c r="F13" s="68">
        <f>Table3[[#This Row],[Column5]]</f>
        <v>170.07900000000001</v>
      </c>
      <c r="G13" s="68">
        <f>Table3[[#This Row],[Column6]]</f>
        <v>170.07900000000001</v>
      </c>
      <c r="H13" s="68">
        <f>Table3[[#This Row],[Column7]]</f>
        <v>170.07900000000001</v>
      </c>
      <c r="I13" s="68">
        <f>Table3[[#This Row],[Column8]]</f>
        <v>170.07900000000001</v>
      </c>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row>
    <row r="14" spans="1:36" ht="15" thickBot="1" x14ac:dyDescent="0.4">
      <c r="A14" s="27" t="s">
        <v>13</v>
      </c>
      <c r="B14" s="31"/>
      <c r="C14" s="31"/>
      <c r="D14" s="31"/>
      <c r="E14" s="31"/>
      <c r="F14" s="31">
        <v>40</v>
      </c>
      <c r="G14" s="31">
        <v>70</v>
      </c>
      <c r="H14" s="31">
        <v>136</v>
      </c>
      <c r="I14" s="31">
        <v>170</v>
      </c>
      <c r="J14" s="31"/>
      <c r="K14" s="31"/>
      <c r="L14" s="30"/>
      <c r="M14" s="29"/>
      <c r="N14" s="32"/>
      <c r="O14" s="32"/>
      <c r="P14" s="32"/>
      <c r="Q14" s="32"/>
      <c r="R14" s="32"/>
      <c r="S14" s="32"/>
      <c r="T14" s="32"/>
      <c r="U14" s="32"/>
      <c r="V14" s="32"/>
      <c r="W14" s="32"/>
      <c r="X14" s="32"/>
      <c r="Y14" s="32"/>
      <c r="Z14" s="32"/>
      <c r="AA14" s="32"/>
      <c r="AB14" s="32"/>
      <c r="AC14" s="32"/>
      <c r="AD14" s="32"/>
      <c r="AE14" s="32"/>
      <c r="AF14" s="32"/>
      <c r="AG14" s="32"/>
      <c r="AH14" s="32"/>
      <c r="AI14" s="32"/>
      <c r="AJ14" s="32"/>
    </row>
    <row r="15" spans="1:36" ht="15" thickBot="1" x14ac:dyDescent="0.4">
      <c r="A15" s="27" t="s">
        <v>15</v>
      </c>
      <c r="B15" s="31"/>
      <c r="C15" s="31"/>
      <c r="D15" s="31"/>
      <c r="E15" s="31"/>
      <c r="F15" s="31">
        <v>40</v>
      </c>
      <c r="G15" s="31">
        <v>70</v>
      </c>
      <c r="H15" s="31">
        <v>136</v>
      </c>
      <c r="I15" s="31">
        <v>170</v>
      </c>
      <c r="J15" s="31"/>
      <c r="K15" s="31"/>
      <c r="L15" s="30"/>
      <c r="M15" s="29"/>
      <c r="N15" s="29"/>
      <c r="O15" s="29"/>
      <c r="P15" s="29"/>
      <c r="Q15" s="29"/>
      <c r="R15" s="29"/>
      <c r="S15" s="32"/>
      <c r="T15" s="32"/>
      <c r="U15" s="32"/>
      <c r="V15" s="32"/>
      <c r="W15" s="32"/>
      <c r="X15" s="32"/>
      <c r="Y15" s="32"/>
      <c r="Z15" s="32"/>
      <c r="AA15" s="32"/>
      <c r="AB15" s="32"/>
      <c r="AC15" s="32"/>
      <c r="AD15" s="32"/>
      <c r="AE15" s="32"/>
      <c r="AF15" s="32"/>
      <c r="AG15" s="32"/>
      <c r="AH15" s="32"/>
      <c r="AI15" s="32"/>
      <c r="AJ15" s="32"/>
    </row>
    <row r="16" spans="1:36" ht="15" thickBot="1" x14ac:dyDescent="0.4">
      <c r="A16" s="27" t="s">
        <v>42</v>
      </c>
      <c r="B16" s="31"/>
      <c r="C16" s="31"/>
      <c r="D16" s="31">
        <v>70</v>
      </c>
      <c r="E16" s="31">
        <v>70</v>
      </c>
      <c r="F16" s="31">
        <v>170</v>
      </c>
      <c r="G16" s="68">
        <f>Table3[[#This Row],[Column6]]</f>
        <v>170</v>
      </c>
      <c r="H16" s="68">
        <f>Table3[[#This Row],[Column7]]</f>
        <v>170</v>
      </c>
      <c r="I16" s="68">
        <f>Table3[[#This Row],[Column8]]</f>
        <v>170</v>
      </c>
      <c r="J16" s="31"/>
      <c r="K16" s="31"/>
      <c r="L16" s="28"/>
      <c r="M16" s="28"/>
      <c r="N16" s="28"/>
      <c r="O16" s="31"/>
      <c r="P16" s="31"/>
      <c r="Q16" s="31"/>
      <c r="R16" s="31"/>
      <c r="S16" s="31"/>
      <c r="T16" s="31"/>
      <c r="U16" s="31"/>
      <c r="V16" s="31"/>
      <c r="W16" s="31"/>
      <c r="X16" s="31"/>
      <c r="Y16" s="31"/>
      <c r="Z16" s="31"/>
      <c r="AA16" s="31"/>
      <c r="AB16" s="31"/>
      <c r="AC16" s="31"/>
      <c r="AD16" s="31"/>
      <c r="AE16" s="31"/>
      <c r="AF16" s="31"/>
      <c r="AG16" s="31"/>
      <c r="AH16" s="31"/>
      <c r="AI16" s="31"/>
      <c r="AJ16" s="31"/>
    </row>
    <row r="17" spans="1:11" x14ac:dyDescent="0.35">
      <c r="A17"/>
    </row>
    <row r="19" spans="1:11" x14ac:dyDescent="0.35">
      <c r="A19" s="97" t="s">
        <v>43</v>
      </c>
      <c r="B19" s="98"/>
      <c r="C19" s="98"/>
      <c r="D19" s="98"/>
      <c r="E19" s="98"/>
      <c r="F19" s="98"/>
      <c r="G19" s="98"/>
      <c r="H19" s="98"/>
      <c r="I19" s="98"/>
      <c r="J19" s="98"/>
      <c r="K19" s="99"/>
    </row>
    <row r="20" spans="1:11" x14ac:dyDescent="0.35">
      <c r="A20" s="100" t="s">
        <v>44</v>
      </c>
      <c r="B20" s="101"/>
      <c r="C20" s="101"/>
      <c r="D20" s="101"/>
      <c r="E20" s="101"/>
      <c r="F20" s="101"/>
      <c r="G20" s="101"/>
      <c r="H20" s="101"/>
      <c r="I20" s="101"/>
      <c r="J20" s="101"/>
      <c r="K20" s="102"/>
    </row>
    <row r="21" spans="1:11" x14ac:dyDescent="0.35">
      <c r="A21" s="100" t="s">
        <v>45</v>
      </c>
      <c r="B21" s="101"/>
      <c r="C21" s="101"/>
      <c r="D21" s="101"/>
      <c r="E21" s="101"/>
      <c r="F21" s="101"/>
      <c r="G21" s="101"/>
      <c r="H21" s="101"/>
      <c r="I21" s="101"/>
      <c r="J21" s="101"/>
      <c r="K21" s="102"/>
    </row>
    <row r="22" spans="1:11" ht="15" thickBot="1" x14ac:dyDescent="0.4">
      <c r="A22" s="94" t="s">
        <v>46</v>
      </c>
      <c r="B22" s="95"/>
      <c r="C22" s="95"/>
      <c r="D22" s="95"/>
      <c r="E22" s="95"/>
      <c r="F22" s="95"/>
      <c r="G22" s="95"/>
      <c r="H22" s="95"/>
      <c r="I22" s="95"/>
      <c r="J22" s="95"/>
      <c r="K22" s="96"/>
    </row>
  </sheetData>
  <mergeCells count="16">
    <mergeCell ref="B10:K10"/>
    <mergeCell ref="A22:K22"/>
    <mergeCell ref="A19:K19"/>
    <mergeCell ref="A20:K20"/>
    <mergeCell ref="A21:K21"/>
    <mergeCell ref="A1:K1"/>
    <mergeCell ref="E3:K3"/>
    <mergeCell ref="E4:K4"/>
    <mergeCell ref="E5:K5"/>
    <mergeCell ref="E6:K6"/>
    <mergeCell ref="A5:D5"/>
    <mergeCell ref="A6:D6"/>
    <mergeCell ref="A2:D2"/>
    <mergeCell ref="E2:K2"/>
    <mergeCell ref="A3:D3"/>
    <mergeCell ref="A4:D4"/>
  </mergeCells>
  <conditionalFormatting sqref="F7:AJ7">
    <cfRule type="containsText" dxfId="1625" priority="6" operator="containsText" text="10/12/xxxx">
      <formula>NOT(ISERROR(SEARCH("10/12/xxxx",F7)))</formula>
    </cfRule>
  </conditionalFormatting>
  <conditionalFormatting sqref="B9:AJ9">
    <cfRule type="containsText" dxfId="1624" priority="5" operator="containsText" text="xx/xx/xxxx">
      <formula>NOT(ISERROR(SEARCH("xx/xx/xxxx",B9)))</formula>
    </cfRule>
  </conditionalFormatting>
  <conditionalFormatting sqref="E7">
    <cfRule type="containsText" dxfId="1623" priority="1" operator="containsText" text="10/12/xxxx">
      <formula>NOT(ISERROR(SEARCH("10/12/xxxx",E7)))</formula>
    </cfRule>
  </conditionalFormatting>
  <conditionalFormatting sqref="B7">
    <cfRule type="containsText" dxfId="1622" priority="4" operator="containsText" text="10/12/xxxx">
      <formula>NOT(ISERROR(SEARCH("10/12/xxxx",B7)))</formula>
    </cfRule>
  </conditionalFormatting>
  <conditionalFormatting sqref="C7">
    <cfRule type="containsText" dxfId="1621" priority="3" operator="containsText" text="10/12/xxxx">
      <formula>NOT(ISERROR(SEARCH("10/12/xxxx",C7)))</formula>
    </cfRule>
  </conditionalFormatting>
  <conditionalFormatting sqref="D7">
    <cfRule type="containsText" dxfId="1620" priority="2" operator="containsText" text="10/12/xxxx">
      <formula>NOT(ISERROR(SEARCH("10/12/xxxx",D7)))</formula>
    </cfRule>
  </conditionalFormatting>
  <dataValidations count="4">
    <dataValidation allowBlank="1" showInputMessage="1" showErrorMessage="1" promptTitle="Insert Date" prompt="Please insert the date the area is available for rehabilitation" sqref="B7:AJ7" xr:uid="{00000000-0002-0000-0100-000001000000}"/>
    <dataValidation allowBlank="1" showInputMessage="1" showErrorMessage="1" promptTitle="Insert Date" prompt="Please insert the data the milestone is to be completed by" sqref="B9:AJ9" xr:uid="{00000000-0002-0000-0100-000002000000}"/>
    <dataValidation allowBlank="1" showInputMessage="1" showErrorMessage="1" promptTitle="Insert Area (ha)" prompt="Please insert the cumulative area available in hectares (ha)" sqref="B8:C8 F8:K8" xr:uid="{00000000-0002-0000-0100-000003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AEB00-8412-4CDA-8216-39C0924340B9}">
  <dimension ref="A1:AN24"/>
  <sheetViews>
    <sheetView zoomScale="70" zoomScaleNormal="70" workbookViewId="0">
      <selection activeCell="H36" sqref="H36"/>
    </sheetView>
  </sheetViews>
  <sheetFormatPr defaultColWidth="12.1796875" defaultRowHeight="14.5" x14ac:dyDescent="0.35"/>
  <cols>
    <col min="1" max="1" width="36.81640625" style="2" bestFit="1" customWidth="1"/>
    <col min="19" max="40" width="12.1796875" hidden="1" customWidth="1"/>
    <col min="41" max="43" width="12.1796875" customWidth="1"/>
  </cols>
  <sheetData>
    <row r="1" spans="1:40" ht="23.25" customHeight="1" thickBot="1" x14ac:dyDescent="0.5">
      <c r="A1" s="83" t="s">
        <v>28</v>
      </c>
      <c r="B1" s="84"/>
      <c r="C1" s="84"/>
      <c r="D1" s="84"/>
      <c r="E1" s="84"/>
      <c r="F1" s="84"/>
      <c r="G1" s="84"/>
      <c r="H1" s="84"/>
      <c r="I1" s="84"/>
      <c r="J1" s="84"/>
      <c r="K1" s="85"/>
    </row>
    <row r="2" spans="1:40" ht="16" customHeight="1" thickBot="1" x14ac:dyDescent="0.4">
      <c r="A2" s="90" t="s">
        <v>29</v>
      </c>
      <c r="B2" s="90"/>
      <c r="C2" s="90"/>
      <c r="D2" s="90"/>
      <c r="E2" s="86" t="s">
        <v>47</v>
      </c>
      <c r="F2" s="86"/>
      <c r="G2" s="86"/>
      <c r="H2" s="86"/>
      <c r="I2" s="86"/>
      <c r="J2" s="86"/>
      <c r="K2" s="86"/>
    </row>
    <row r="3" spans="1:40" ht="16" customHeight="1" thickBot="1" x14ac:dyDescent="0.4">
      <c r="A3" s="90" t="s">
        <v>31</v>
      </c>
      <c r="B3" s="90"/>
      <c r="C3" s="90"/>
      <c r="D3" s="90"/>
      <c r="E3" s="86" t="s">
        <v>48</v>
      </c>
      <c r="F3" s="86"/>
      <c r="G3" s="86"/>
      <c r="H3" s="86"/>
      <c r="I3" s="86"/>
      <c r="J3" s="86"/>
      <c r="K3" s="86"/>
    </row>
    <row r="4" spans="1:40" ht="16" customHeight="1" thickBot="1" x14ac:dyDescent="0.4">
      <c r="A4" s="90" t="s">
        <v>33</v>
      </c>
      <c r="B4" s="90"/>
      <c r="C4" s="90"/>
      <c r="D4" s="90"/>
      <c r="E4" s="87">
        <v>804.83100000000002</v>
      </c>
      <c r="F4" s="87"/>
      <c r="G4" s="87"/>
      <c r="H4" s="87"/>
      <c r="I4" s="87"/>
      <c r="J4" s="87"/>
      <c r="K4" s="87"/>
    </row>
    <row r="5" spans="1:40" ht="32.15" customHeight="1" thickBot="1" x14ac:dyDescent="0.4">
      <c r="A5" s="89" t="s">
        <v>34</v>
      </c>
      <c r="B5" s="89"/>
      <c r="C5" s="89"/>
      <c r="D5" s="89"/>
      <c r="E5" s="88">
        <v>47484</v>
      </c>
      <c r="F5" s="86"/>
      <c r="G5" s="86"/>
      <c r="H5" s="86"/>
      <c r="I5" s="86"/>
      <c r="J5" s="86"/>
      <c r="K5" s="86"/>
    </row>
    <row r="6" spans="1:40" ht="16" customHeight="1" thickBot="1" x14ac:dyDescent="0.4">
      <c r="A6" s="90" t="s">
        <v>35</v>
      </c>
      <c r="B6" s="90"/>
      <c r="C6" s="90"/>
      <c r="D6" s="90"/>
      <c r="E6" s="86" t="s">
        <v>36</v>
      </c>
      <c r="F6" s="86"/>
      <c r="G6" s="86"/>
      <c r="H6" s="86"/>
      <c r="I6" s="86"/>
      <c r="J6" s="86"/>
      <c r="K6" s="86"/>
    </row>
    <row r="7" spans="1:40" ht="31" customHeight="1" thickBot="1" x14ac:dyDescent="0.4">
      <c r="A7" s="3" t="s">
        <v>37</v>
      </c>
      <c r="B7" s="12">
        <v>47097</v>
      </c>
      <c r="C7" s="12">
        <v>47462</v>
      </c>
      <c r="D7" s="12">
        <v>47827</v>
      </c>
      <c r="E7" s="12">
        <v>48192</v>
      </c>
      <c r="F7" s="12">
        <v>48558</v>
      </c>
      <c r="G7" s="12">
        <v>48923</v>
      </c>
      <c r="H7" s="12">
        <v>49288</v>
      </c>
      <c r="I7" s="12">
        <v>49653</v>
      </c>
      <c r="J7" s="12">
        <v>50384</v>
      </c>
      <c r="K7" s="12">
        <v>50749</v>
      </c>
      <c r="L7" s="12">
        <v>51480</v>
      </c>
      <c r="M7" s="12">
        <v>52575</v>
      </c>
      <c r="N7" s="12">
        <v>54767</v>
      </c>
      <c r="O7" s="12">
        <v>55132</v>
      </c>
      <c r="P7" s="12">
        <v>55497</v>
      </c>
      <c r="Q7" s="12"/>
      <c r="R7" s="12"/>
      <c r="S7" s="12"/>
      <c r="T7" s="12"/>
      <c r="U7" s="12"/>
      <c r="V7" s="12"/>
      <c r="W7" s="12"/>
      <c r="X7" s="12"/>
      <c r="Y7" s="12"/>
      <c r="Z7" s="12"/>
      <c r="AA7" s="12"/>
      <c r="AB7" s="12"/>
      <c r="AC7" s="12"/>
      <c r="AD7" s="12"/>
      <c r="AE7" s="12"/>
      <c r="AF7" s="12"/>
      <c r="AG7" s="12"/>
      <c r="AH7" s="12"/>
      <c r="AI7" s="12"/>
      <c r="AJ7" s="12"/>
      <c r="AK7" s="12"/>
      <c r="AL7" s="12"/>
      <c r="AM7" s="12"/>
      <c r="AN7" s="12"/>
    </row>
    <row r="8" spans="1:40" ht="31" customHeight="1" thickBot="1" x14ac:dyDescent="0.4">
      <c r="A8" s="78" t="s">
        <v>38</v>
      </c>
      <c r="B8" s="79">
        <v>33.869</v>
      </c>
      <c r="C8" s="79">
        <v>78.697000000000003</v>
      </c>
      <c r="D8" s="81">
        <v>129.40700000000001</v>
      </c>
      <c r="E8" s="79">
        <v>191.45100000000002</v>
      </c>
      <c r="F8" s="79">
        <v>350.34800000000001</v>
      </c>
      <c r="G8" s="79">
        <v>426.11099999999999</v>
      </c>
      <c r="H8" s="79">
        <v>440.45099999999996</v>
      </c>
      <c r="I8" s="79">
        <v>475.63699999999994</v>
      </c>
      <c r="J8" s="79">
        <v>498.40899999999993</v>
      </c>
      <c r="K8" s="82">
        <v>518.7109999999999</v>
      </c>
      <c r="L8" s="82">
        <v>542.95899999999995</v>
      </c>
      <c r="M8" s="79">
        <v>578.23199999999997</v>
      </c>
      <c r="N8" s="79">
        <v>719.57299999999998</v>
      </c>
      <c r="O8" s="81">
        <v>752.26599999999996</v>
      </c>
      <c r="P8" s="79">
        <v>804.92399999999998</v>
      </c>
      <c r="Q8" s="79"/>
      <c r="R8" s="79"/>
      <c r="S8" s="57"/>
      <c r="T8" s="57"/>
      <c r="U8" s="57"/>
      <c r="V8" s="59"/>
      <c r="W8" s="59"/>
      <c r="X8" s="57"/>
      <c r="Y8" s="57"/>
      <c r="Z8" s="58"/>
      <c r="AA8" s="57"/>
      <c r="AB8" s="57"/>
      <c r="AC8" s="57"/>
      <c r="AD8" s="57"/>
      <c r="AE8" s="57"/>
      <c r="AF8" s="57"/>
      <c r="AG8" s="20"/>
      <c r="AH8" s="20"/>
      <c r="AI8" s="20"/>
      <c r="AJ8" s="20"/>
      <c r="AK8" s="20"/>
      <c r="AL8" s="20"/>
      <c r="AM8" s="20"/>
      <c r="AN8" s="20"/>
    </row>
    <row r="9" spans="1:40" ht="31" customHeight="1" thickBot="1" x14ac:dyDescent="0.4">
      <c r="A9" s="55" t="s">
        <v>39</v>
      </c>
      <c r="B9" s="56">
        <v>48923</v>
      </c>
      <c r="C9" s="56">
        <v>49288</v>
      </c>
      <c r="D9" s="56">
        <v>49653</v>
      </c>
      <c r="E9" s="56">
        <v>50019</v>
      </c>
      <c r="F9" s="56">
        <v>50384</v>
      </c>
      <c r="G9" s="56">
        <v>50749</v>
      </c>
      <c r="H9" s="56">
        <v>51114</v>
      </c>
      <c r="I9" s="56">
        <v>51480</v>
      </c>
      <c r="J9" s="56">
        <v>52210</v>
      </c>
      <c r="K9" s="56">
        <v>52575</v>
      </c>
      <c r="L9" s="56">
        <v>53306</v>
      </c>
      <c r="M9" s="56">
        <v>54402</v>
      </c>
      <c r="N9" s="56">
        <v>56593</v>
      </c>
      <c r="O9" s="56">
        <v>56958</v>
      </c>
      <c r="P9" s="56">
        <v>57324</v>
      </c>
      <c r="Q9" s="56">
        <v>60611</v>
      </c>
      <c r="R9" s="56">
        <v>64629</v>
      </c>
      <c r="S9" s="13"/>
      <c r="T9" s="13"/>
      <c r="U9" s="13"/>
      <c r="V9" s="13"/>
      <c r="W9" s="13"/>
      <c r="X9" s="13"/>
      <c r="Y9" s="13"/>
      <c r="Z9" s="13"/>
      <c r="AA9" s="13"/>
      <c r="AB9" s="13"/>
      <c r="AC9" s="13"/>
      <c r="AD9" s="13"/>
      <c r="AE9" s="13"/>
      <c r="AF9" s="13"/>
      <c r="AG9" s="13"/>
      <c r="AH9" s="13"/>
      <c r="AI9" s="13"/>
      <c r="AJ9" s="13"/>
      <c r="AK9" s="13"/>
      <c r="AL9" s="13"/>
      <c r="AM9" s="13"/>
      <c r="AN9" s="13"/>
    </row>
    <row r="10" spans="1:40" s="11" customFormat="1" ht="15" thickBot="1" x14ac:dyDescent="0.4">
      <c r="A10" s="1" t="s">
        <v>40</v>
      </c>
      <c r="B10" s="91" t="s">
        <v>41</v>
      </c>
      <c r="C10" s="92"/>
      <c r="D10" s="92"/>
      <c r="E10" s="92"/>
      <c r="F10" s="92"/>
      <c r="G10" s="92"/>
      <c r="H10" s="92"/>
      <c r="I10" s="92"/>
      <c r="J10" s="92"/>
      <c r="K10" s="93"/>
    </row>
    <row r="11" spans="1:40" ht="15" thickBot="1" x14ac:dyDescent="0.4">
      <c r="A11" s="27" t="s">
        <v>7</v>
      </c>
      <c r="B11" s="31">
        <v>33.869</v>
      </c>
      <c r="C11" s="31">
        <v>78.697000000000003</v>
      </c>
      <c r="D11" s="31">
        <v>129.40700000000001</v>
      </c>
      <c r="E11" s="31">
        <v>191.45100000000002</v>
      </c>
      <c r="F11" s="31">
        <v>350.34800000000001</v>
      </c>
      <c r="G11" s="31">
        <v>426.11099999999999</v>
      </c>
      <c r="H11" s="31">
        <v>440.45099999999996</v>
      </c>
      <c r="I11" s="31">
        <v>475.63699999999994</v>
      </c>
      <c r="J11" s="31">
        <v>498.40899999999993</v>
      </c>
      <c r="K11" s="31">
        <v>518.7109999999999</v>
      </c>
      <c r="L11" s="31">
        <v>542.95899999999995</v>
      </c>
      <c r="M11" s="31">
        <v>578.23199999999997</v>
      </c>
      <c r="N11" s="31">
        <v>719.57299999999998</v>
      </c>
      <c r="O11" s="31">
        <v>752.26599999999996</v>
      </c>
      <c r="P11" s="31">
        <v>804.83100000000002</v>
      </c>
      <c r="Q11" s="68">
        <f>Table326[[#This Row],[Column16]]</f>
        <v>804.83100000000002</v>
      </c>
      <c r="R11" s="68">
        <f>Table326[[#This Row],[Column17]]</f>
        <v>804.83100000000002</v>
      </c>
      <c r="S11" s="31"/>
      <c r="T11" s="31"/>
      <c r="U11" s="31"/>
      <c r="V11" s="31"/>
      <c r="W11" s="31"/>
      <c r="X11" s="31"/>
      <c r="Y11" s="31"/>
      <c r="Z11" s="31"/>
      <c r="AA11" s="31"/>
      <c r="AB11" s="31"/>
      <c r="AC11" s="31"/>
      <c r="AD11" s="31"/>
      <c r="AE11" s="31"/>
      <c r="AF11" s="31"/>
      <c r="AG11" s="31"/>
      <c r="AH11" s="31"/>
      <c r="AI11" s="31"/>
      <c r="AJ11" s="31"/>
      <c r="AK11" s="31"/>
      <c r="AL11" s="31"/>
      <c r="AM11" s="31"/>
      <c r="AN11" s="31"/>
    </row>
    <row r="12" spans="1:40" ht="15" thickBot="1" x14ac:dyDescent="0.4">
      <c r="A12" s="27" t="s">
        <v>9</v>
      </c>
      <c r="B12" s="32">
        <v>33.869</v>
      </c>
      <c r="C12" s="32">
        <v>78.697000000000003</v>
      </c>
      <c r="D12" s="32">
        <v>129.40700000000001</v>
      </c>
      <c r="E12" s="32">
        <v>191.45100000000002</v>
      </c>
      <c r="F12" s="32">
        <v>350.34800000000001</v>
      </c>
      <c r="G12" s="32">
        <v>426.11099999999999</v>
      </c>
      <c r="H12" s="32">
        <v>440.45099999999996</v>
      </c>
      <c r="I12" s="32">
        <v>475.63699999999994</v>
      </c>
      <c r="J12" s="32">
        <v>498.40899999999993</v>
      </c>
      <c r="K12" s="32">
        <v>518.7109999999999</v>
      </c>
      <c r="L12" s="32">
        <v>542.95899999999995</v>
      </c>
      <c r="M12" s="32">
        <v>578.23199999999997</v>
      </c>
      <c r="N12" s="32">
        <v>719.57299999999998</v>
      </c>
      <c r="O12" s="32">
        <v>752.26599999999996</v>
      </c>
      <c r="P12" s="31">
        <v>804.83100000000002</v>
      </c>
      <c r="Q12" s="68">
        <f>Table326[[#This Row],[Column16]]</f>
        <v>804.83100000000002</v>
      </c>
      <c r="R12" s="68">
        <f>Table326[[#This Row],[Column17]]</f>
        <v>804.83100000000002</v>
      </c>
      <c r="S12" s="32"/>
      <c r="T12" s="32"/>
      <c r="U12" s="32"/>
      <c r="V12" s="32"/>
      <c r="W12" s="32"/>
      <c r="X12" s="31"/>
      <c r="Y12" s="31"/>
      <c r="Z12" s="31"/>
      <c r="AA12" s="31"/>
      <c r="AB12" s="31"/>
      <c r="AC12" s="31"/>
      <c r="AD12" s="31"/>
      <c r="AE12" s="31"/>
      <c r="AF12" s="31"/>
      <c r="AG12" s="32"/>
      <c r="AH12" s="32"/>
      <c r="AI12" s="32"/>
      <c r="AJ12" s="32"/>
      <c r="AK12" s="32"/>
      <c r="AL12" s="32"/>
      <c r="AM12" s="32"/>
      <c r="AN12" s="32"/>
    </row>
    <row r="13" spans="1:40" ht="15" thickBot="1" x14ac:dyDescent="0.4">
      <c r="A13" s="27" t="s">
        <v>11</v>
      </c>
      <c r="B13" s="32">
        <v>33.869</v>
      </c>
      <c r="C13" s="32">
        <v>78.697000000000003</v>
      </c>
      <c r="D13" s="32">
        <v>129.40700000000001</v>
      </c>
      <c r="E13" s="32">
        <v>191.45100000000002</v>
      </c>
      <c r="F13" s="32">
        <v>350.34800000000001</v>
      </c>
      <c r="G13" s="32">
        <v>426.11099999999999</v>
      </c>
      <c r="H13" s="32">
        <v>440.45099999999996</v>
      </c>
      <c r="I13" s="32">
        <v>475.63699999999994</v>
      </c>
      <c r="J13" s="32">
        <v>498.40899999999993</v>
      </c>
      <c r="K13" s="32">
        <v>518.7109999999999</v>
      </c>
      <c r="L13" s="32">
        <v>542.95899999999995</v>
      </c>
      <c r="M13" s="32">
        <v>578.23199999999997</v>
      </c>
      <c r="N13" s="32">
        <v>719.57299999999998</v>
      </c>
      <c r="O13" s="32">
        <v>752.26599999999996</v>
      </c>
      <c r="P13" s="31">
        <v>804.83100000000002</v>
      </c>
      <c r="Q13" s="68">
        <f>Table326[[#This Row],[Column16]]</f>
        <v>804.83100000000002</v>
      </c>
      <c r="R13" s="68">
        <f>Table326[[#This Row],[Column17]]</f>
        <v>804.83100000000002</v>
      </c>
      <c r="S13" s="32"/>
      <c r="T13" s="32"/>
      <c r="U13" s="32"/>
      <c r="V13" s="32"/>
      <c r="W13" s="32"/>
      <c r="X13" s="31"/>
      <c r="Y13" s="31"/>
      <c r="Z13" s="31"/>
      <c r="AA13" s="31"/>
      <c r="AB13" s="31"/>
      <c r="AC13" s="31"/>
      <c r="AD13" s="31"/>
      <c r="AE13" s="31"/>
      <c r="AF13" s="31"/>
      <c r="AG13" s="32"/>
      <c r="AH13" s="32"/>
      <c r="AI13" s="32"/>
      <c r="AJ13" s="32"/>
      <c r="AK13" s="32"/>
      <c r="AL13" s="32"/>
      <c r="AM13" s="32"/>
      <c r="AN13" s="32"/>
    </row>
    <row r="14" spans="1:40" ht="15" thickBot="1" x14ac:dyDescent="0.4">
      <c r="A14" s="27" t="s">
        <v>13</v>
      </c>
      <c r="B14" s="29"/>
      <c r="C14" s="29"/>
      <c r="D14" s="29"/>
      <c r="E14" s="29"/>
      <c r="F14" s="29"/>
      <c r="G14" s="31"/>
      <c r="H14" s="31"/>
      <c r="I14" s="31"/>
      <c r="J14" s="31"/>
      <c r="K14" s="31"/>
      <c r="L14" s="31"/>
      <c r="M14" s="31"/>
      <c r="N14" s="31"/>
      <c r="O14" s="31"/>
      <c r="P14" s="31"/>
      <c r="Q14" s="31">
        <v>543</v>
      </c>
      <c r="R14" s="31">
        <v>805</v>
      </c>
      <c r="S14" s="31"/>
      <c r="T14" s="31"/>
      <c r="U14" s="31"/>
      <c r="V14" s="31"/>
      <c r="W14" s="31"/>
      <c r="X14" s="31"/>
      <c r="Y14" s="31"/>
      <c r="Z14" s="31"/>
      <c r="AA14" s="31"/>
      <c r="AB14" s="31"/>
      <c r="AC14" s="31"/>
      <c r="AD14" s="31"/>
      <c r="AE14" s="31"/>
      <c r="AF14" s="31"/>
      <c r="AG14" s="31"/>
      <c r="AH14" s="31"/>
      <c r="AI14" s="31"/>
      <c r="AJ14" s="31"/>
      <c r="AK14" s="31"/>
      <c r="AL14" s="31"/>
      <c r="AM14" s="31"/>
      <c r="AN14" s="31"/>
    </row>
    <row r="15" spans="1:40" ht="15" thickBot="1" x14ac:dyDescent="0.4">
      <c r="A15" s="27" t="s">
        <v>15</v>
      </c>
      <c r="B15" s="29"/>
      <c r="C15" s="29"/>
      <c r="D15" s="29"/>
      <c r="E15" s="29"/>
      <c r="F15" s="29"/>
      <c r="G15" s="29"/>
      <c r="H15" s="29"/>
      <c r="I15" s="29"/>
      <c r="J15" s="29"/>
      <c r="K15" s="28"/>
      <c r="L15" s="32"/>
      <c r="M15" s="32"/>
      <c r="N15" s="32"/>
      <c r="O15" s="32"/>
      <c r="P15" s="32"/>
      <c r="Q15" s="32">
        <v>543</v>
      </c>
      <c r="R15" s="32">
        <v>805</v>
      </c>
      <c r="S15" s="32"/>
      <c r="T15" s="32"/>
      <c r="U15" s="32"/>
      <c r="V15" s="32"/>
      <c r="W15" s="32"/>
      <c r="X15" s="32"/>
      <c r="Y15" s="32"/>
      <c r="Z15" s="32"/>
      <c r="AA15" s="32"/>
      <c r="AB15" s="32"/>
      <c r="AC15" s="32"/>
      <c r="AD15" s="32"/>
      <c r="AE15" s="32"/>
      <c r="AF15" s="31"/>
      <c r="AG15" s="32"/>
      <c r="AH15" s="32"/>
      <c r="AI15" s="32"/>
      <c r="AJ15" s="32"/>
      <c r="AK15" s="32"/>
      <c r="AL15" s="32"/>
      <c r="AM15" s="32"/>
      <c r="AN15" s="32"/>
    </row>
    <row r="16" spans="1:40" ht="15" thickBot="1" x14ac:dyDescent="0.4">
      <c r="A16" s="27" t="s">
        <v>42</v>
      </c>
      <c r="B16" s="28"/>
      <c r="C16" s="28"/>
      <c r="D16" s="28"/>
      <c r="E16" s="28"/>
      <c r="F16" s="28"/>
      <c r="G16" s="28"/>
      <c r="H16" s="28"/>
      <c r="I16" s="28"/>
      <c r="J16" s="28"/>
      <c r="K16" s="28"/>
      <c r="L16" s="28">
        <v>543</v>
      </c>
      <c r="M16" s="28">
        <v>543</v>
      </c>
      <c r="N16" s="28">
        <v>543</v>
      </c>
      <c r="O16" s="28">
        <v>543</v>
      </c>
      <c r="P16" s="28">
        <v>805</v>
      </c>
      <c r="Q16" s="69">
        <f>P16</f>
        <v>805</v>
      </c>
      <c r="R16" s="69">
        <f>Q16</f>
        <v>805</v>
      </c>
      <c r="S16" s="28"/>
      <c r="T16" s="28"/>
      <c r="U16" s="28"/>
      <c r="V16" s="28"/>
      <c r="W16" s="28"/>
      <c r="X16" s="28"/>
      <c r="Y16" s="31"/>
      <c r="Z16" s="31"/>
      <c r="AA16" s="31"/>
      <c r="AB16" s="31"/>
      <c r="AC16" s="31"/>
      <c r="AD16" s="31"/>
      <c r="AE16" s="31"/>
      <c r="AF16" s="31"/>
      <c r="AG16" s="31"/>
      <c r="AH16" s="31"/>
      <c r="AI16" s="31"/>
      <c r="AJ16" s="31"/>
      <c r="AK16" s="31"/>
      <c r="AL16" s="31"/>
      <c r="AM16" s="31"/>
      <c r="AN16" s="31"/>
    </row>
    <row r="17" spans="1:18" x14ac:dyDescent="0.35">
      <c r="A17"/>
    </row>
    <row r="18" spans="1:18" ht="15" thickBot="1" x14ac:dyDescent="0.4"/>
    <row r="19" spans="1:18" x14ac:dyDescent="0.35">
      <c r="A19" s="97" t="s">
        <v>43</v>
      </c>
      <c r="B19" s="98"/>
      <c r="C19" s="98"/>
      <c r="D19" s="98"/>
      <c r="E19" s="98"/>
      <c r="F19" s="98"/>
      <c r="G19" s="98"/>
      <c r="H19" s="98"/>
      <c r="I19" s="98"/>
      <c r="J19" s="98"/>
      <c r="K19" s="99"/>
    </row>
    <row r="20" spans="1:18" x14ac:dyDescent="0.35">
      <c r="A20" s="100" t="s">
        <v>44</v>
      </c>
      <c r="B20" s="101"/>
      <c r="C20" s="101"/>
      <c r="D20" s="101"/>
      <c r="E20" s="101"/>
      <c r="F20" s="101"/>
      <c r="G20" s="101"/>
      <c r="H20" s="101"/>
      <c r="I20" s="101"/>
      <c r="J20" s="101"/>
      <c r="K20" s="102"/>
    </row>
    <row r="21" spans="1:18" x14ac:dyDescent="0.35">
      <c r="A21" s="100" t="s">
        <v>45</v>
      </c>
      <c r="B21" s="101"/>
      <c r="C21" s="101"/>
      <c r="D21" s="101"/>
      <c r="E21" s="101"/>
      <c r="F21" s="101"/>
      <c r="G21" s="101"/>
      <c r="H21" s="101"/>
      <c r="I21" s="101"/>
      <c r="J21" s="101"/>
      <c r="K21" s="102"/>
    </row>
    <row r="22" spans="1:18" ht="15" thickBot="1" x14ac:dyDescent="0.4">
      <c r="A22" s="94" t="s">
        <v>46</v>
      </c>
      <c r="B22" s="95"/>
      <c r="C22" s="95"/>
      <c r="D22" s="95"/>
      <c r="E22" s="95"/>
      <c r="F22" s="95"/>
      <c r="G22" s="95"/>
      <c r="H22" s="95"/>
      <c r="I22" s="95"/>
      <c r="J22" s="95"/>
      <c r="K22" s="96"/>
    </row>
    <row r="24" spans="1:18" hidden="1" x14ac:dyDescent="0.35">
      <c r="B24">
        <f t="shared" ref="B24:R24" si="0">IF(SUM(B8,B11:B18)=SUM(A8,A11:A18),0,1)</f>
        <v>1</v>
      </c>
      <c r="C24">
        <f t="shared" si="0"/>
        <v>1</v>
      </c>
      <c r="D24">
        <f t="shared" si="0"/>
        <v>1</v>
      </c>
      <c r="E24">
        <f t="shared" si="0"/>
        <v>1</v>
      </c>
      <c r="F24">
        <f t="shared" si="0"/>
        <v>1</v>
      </c>
      <c r="G24">
        <f t="shared" si="0"/>
        <v>1</v>
      </c>
      <c r="H24">
        <f t="shared" si="0"/>
        <v>1</v>
      </c>
      <c r="I24">
        <f t="shared" si="0"/>
        <v>1</v>
      </c>
      <c r="J24">
        <f t="shared" si="0"/>
        <v>1</v>
      </c>
      <c r="K24">
        <f t="shared" si="0"/>
        <v>1</v>
      </c>
      <c r="L24">
        <f t="shared" si="0"/>
        <v>1</v>
      </c>
      <c r="M24">
        <f t="shared" si="0"/>
        <v>1</v>
      </c>
      <c r="N24">
        <f t="shared" si="0"/>
        <v>1</v>
      </c>
      <c r="O24">
        <f t="shared" si="0"/>
        <v>1</v>
      </c>
      <c r="P24">
        <f t="shared" si="0"/>
        <v>1</v>
      </c>
      <c r="Q24">
        <f t="shared" si="0"/>
        <v>1</v>
      </c>
      <c r="R24">
        <f t="shared" si="0"/>
        <v>1</v>
      </c>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K7 Q7:AN7">
    <cfRule type="containsText" dxfId="1497" priority="6" operator="containsText" text="10/12/xxxx">
      <formula>NOT(ISERROR(SEARCH("10/12/xxxx",B7)))</formula>
    </cfRule>
  </conditionalFormatting>
  <conditionalFormatting sqref="B9:AN9">
    <cfRule type="containsText" dxfId="1496" priority="5" operator="containsText" text="xx/xx/xxxx">
      <formula>NOT(ISERROR(SEARCH("xx/xx/xxxx",B9)))</formula>
    </cfRule>
  </conditionalFormatting>
  <conditionalFormatting sqref="L7">
    <cfRule type="containsText" dxfId="1495" priority="4" operator="containsText" text="10/12/xxxx">
      <formula>NOT(ISERROR(SEARCH("10/12/xxxx",L7)))</formula>
    </cfRule>
  </conditionalFormatting>
  <conditionalFormatting sqref="M7">
    <cfRule type="containsText" dxfId="1494" priority="3" operator="containsText" text="10/12/xxxx">
      <formula>NOT(ISERROR(SEARCH("10/12/xxxx",M7)))</formula>
    </cfRule>
  </conditionalFormatting>
  <conditionalFormatting sqref="N7:O7">
    <cfRule type="containsText" dxfId="1493" priority="2" operator="containsText" text="10/12/xxxx">
      <formula>NOT(ISERROR(SEARCH("10/12/xxxx",N7)))</formula>
    </cfRule>
  </conditionalFormatting>
  <conditionalFormatting sqref="P7">
    <cfRule type="containsText" dxfId="1492" priority="1" operator="containsText" text="10/12/xxxx">
      <formula>NOT(ISERROR(SEARCH("10/12/xxxx",P7)))</formula>
    </cfRule>
  </conditionalFormatting>
  <dataValidations count="4">
    <dataValidation allowBlank="1" showInputMessage="1" showErrorMessage="1" prompt="Please input the correct Rehabilitation Area number (RA#)" sqref="E2:K2" xr:uid="{E15BB6FA-801E-4C71-B84C-3958C2A34F6B}"/>
    <dataValidation allowBlank="1" showInputMessage="1" showErrorMessage="1" promptTitle="Insert Area (ha)" prompt="Please insert the cumulative area available in hectares (ha)" sqref="B8:J8" xr:uid="{2031BBAF-BA0B-4572-AC35-5A608DFAC8DE}"/>
    <dataValidation allowBlank="1" showInputMessage="1" showErrorMessage="1" promptTitle="Insert Date" prompt="Please insert the data the milestone is to be completed by" sqref="B9:AN9" xr:uid="{2CF68BBD-E2A6-4C16-8623-A0091AFA4573}"/>
    <dataValidation allowBlank="1" showInputMessage="1" showErrorMessage="1" promptTitle="Insert Date" prompt="Please insert the date the area is available for rehabilitation" sqref="B7:AN7" xr:uid="{FC3838EB-541F-4E77-8EAE-2899F7FB304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64480-D254-4AAC-BF6C-A399FD878A18}">
  <dimension ref="A1:AL25"/>
  <sheetViews>
    <sheetView zoomScale="70" zoomScaleNormal="70" workbookViewId="0">
      <selection activeCell="E36" sqref="E36"/>
    </sheetView>
  </sheetViews>
  <sheetFormatPr defaultColWidth="12.1796875" defaultRowHeight="14.5" x14ac:dyDescent="0.35"/>
  <cols>
    <col min="1" max="1" width="36.81640625" style="2" bestFit="1" customWidth="1"/>
    <col min="12" max="38" width="12.1796875" hidden="1" customWidth="1"/>
    <col min="39" max="40" width="0" hidden="1" customWidth="1"/>
  </cols>
  <sheetData>
    <row r="1" spans="1:37" ht="23.25" customHeight="1" thickBot="1" x14ac:dyDescent="0.5">
      <c r="A1" s="83" t="s">
        <v>28</v>
      </c>
      <c r="B1" s="84"/>
      <c r="C1" s="84"/>
      <c r="D1" s="84"/>
      <c r="E1" s="84"/>
      <c r="F1" s="84"/>
      <c r="G1" s="84"/>
      <c r="H1" s="84"/>
      <c r="I1" s="84"/>
      <c r="J1" s="84"/>
      <c r="K1" s="85"/>
    </row>
    <row r="2" spans="1:37" ht="16" customHeight="1" thickBot="1" x14ac:dyDescent="0.4">
      <c r="A2" s="90" t="s">
        <v>29</v>
      </c>
      <c r="B2" s="90"/>
      <c r="C2" s="90"/>
      <c r="D2" s="90"/>
      <c r="E2" s="86" t="s">
        <v>49</v>
      </c>
      <c r="F2" s="86"/>
      <c r="G2" s="86"/>
      <c r="H2" s="86"/>
      <c r="I2" s="86"/>
      <c r="J2" s="86"/>
      <c r="K2" s="86"/>
    </row>
    <row r="3" spans="1:37" ht="16" customHeight="1" thickBot="1" x14ac:dyDescent="0.4">
      <c r="A3" s="90" t="s">
        <v>31</v>
      </c>
      <c r="B3" s="90"/>
      <c r="C3" s="90"/>
      <c r="D3" s="90"/>
      <c r="E3" s="86" t="s">
        <v>50</v>
      </c>
      <c r="F3" s="86"/>
      <c r="G3" s="86"/>
      <c r="H3" s="86"/>
      <c r="I3" s="86"/>
      <c r="J3" s="86"/>
      <c r="K3" s="86"/>
    </row>
    <row r="4" spans="1:37" ht="16" customHeight="1" thickBot="1" x14ac:dyDescent="0.4">
      <c r="A4" s="90" t="s">
        <v>33</v>
      </c>
      <c r="B4" s="90"/>
      <c r="C4" s="90"/>
      <c r="D4" s="90"/>
      <c r="E4" s="87">
        <v>291.10000000000002</v>
      </c>
      <c r="F4" s="87"/>
      <c r="G4" s="87"/>
      <c r="H4" s="87"/>
      <c r="I4" s="87"/>
      <c r="J4" s="87"/>
      <c r="K4" s="87"/>
    </row>
    <row r="5" spans="1:37" ht="32.15" customHeight="1" thickBot="1" x14ac:dyDescent="0.4">
      <c r="A5" s="89" t="s">
        <v>34</v>
      </c>
      <c r="B5" s="89"/>
      <c r="C5" s="89"/>
      <c r="D5" s="89"/>
      <c r="E5" s="88">
        <v>48580</v>
      </c>
      <c r="F5" s="86"/>
      <c r="G5" s="86"/>
      <c r="H5" s="86"/>
      <c r="I5" s="86"/>
      <c r="J5" s="86"/>
      <c r="K5" s="86"/>
    </row>
    <row r="6" spans="1:37" ht="16" customHeight="1" thickBot="1" x14ac:dyDescent="0.4">
      <c r="A6" s="90" t="s">
        <v>35</v>
      </c>
      <c r="B6" s="90"/>
      <c r="C6" s="90"/>
      <c r="D6" s="90"/>
      <c r="E6" s="86" t="s">
        <v>36</v>
      </c>
      <c r="F6" s="86"/>
      <c r="G6" s="86"/>
      <c r="H6" s="86"/>
      <c r="I6" s="86"/>
      <c r="J6" s="86"/>
      <c r="K6" s="86"/>
    </row>
    <row r="7" spans="1:37" ht="31" customHeight="1" thickBot="1" x14ac:dyDescent="0.4">
      <c r="A7" s="3" t="s">
        <v>37</v>
      </c>
      <c r="B7" s="12">
        <v>48192</v>
      </c>
      <c r="C7" s="12">
        <v>48558</v>
      </c>
      <c r="D7" s="12">
        <v>49288</v>
      </c>
      <c r="E7" s="12">
        <v>49653</v>
      </c>
      <c r="F7" s="12">
        <v>50019</v>
      </c>
      <c r="G7" s="12">
        <v>51845</v>
      </c>
      <c r="H7" s="12">
        <v>54767</v>
      </c>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row>
    <row r="8" spans="1:37" ht="31" customHeight="1" thickBot="1" x14ac:dyDescent="0.4">
      <c r="A8" s="78" t="s">
        <v>38</v>
      </c>
      <c r="B8" s="79">
        <v>10.119999999999999</v>
      </c>
      <c r="C8" s="79">
        <v>43.061</v>
      </c>
      <c r="D8" s="79">
        <v>63.195</v>
      </c>
      <c r="E8" s="79">
        <v>85.528999999999996</v>
      </c>
      <c r="F8" s="79">
        <v>112.102</v>
      </c>
      <c r="G8" s="79">
        <v>146.72</v>
      </c>
      <c r="H8" s="79">
        <v>291.10000000000002</v>
      </c>
      <c r="I8" s="79"/>
      <c r="J8" s="79"/>
      <c r="K8" s="82"/>
      <c r="L8" s="81"/>
      <c r="M8" s="79"/>
      <c r="N8" s="79"/>
      <c r="O8" s="79"/>
      <c r="P8" s="81"/>
      <c r="Q8" s="79"/>
      <c r="R8" s="79"/>
      <c r="S8" s="79"/>
      <c r="T8" s="79"/>
      <c r="U8" s="79"/>
      <c r="V8" s="79"/>
      <c r="W8" s="79"/>
      <c r="X8" s="79"/>
      <c r="Y8" s="81"/>
      <c r="Z8" s="79"/>
      <c r="AA8" s="79"/>
      <c r="AB8" s="79"/>
      <c r="AC8" s="79"/>
      <c r="AD8" s="79"/>
      <c r="AE8" s="79"/>
      <c r="AF8" s="79"/>
      <c r="AG8" s="79"/>
      <c r="AH8" s="79"/>
      <c r="AI8" s="79"/>
      <c r="AJ8" s="79"/>
      <c r="AK8" s="79"/>
    </row>
    <row r="9" spans="1:37" ht="31" customHeight="1" thickBot="1" x14ac:dyDescent="0.4">
      <c r="A9" s="55" t="s">
        <v>39</v>
      </c>
      <c r="B9" s="56">
        <v>50019</v>
      </c>
      <c r="C9" s="56">
        <v>50384</v>
      </c>
      <c r="D9" s="56">
        <v>51114</v>
      </c>
      <c r="E9" s="56">
        <v>51480</v>
      </c>
      <c r="F9" s="56">
        <v>51845</v>
      </c>
      <c r="G9" s="56">
        <v>53671</v>
      </c>
      <c r="H9" s="56">
        <v>56593</v>
      </c>
      <c r="I9" s="56">
        <v>57324</v>
      </c>
      <c r="J9" s="56">
        <v>59150</v>
      </c>
      <c r="K9" s="56">
        <v>63898</v>
      </c>
      <c r="L9" s="56"/>
      <c r="M9" s="56"/>
      <c r="N9" s="56"/>
      <c r="O9" s="56"/>
      <c r="P9" s="56"/>
      <c r="Q9" s="56"/>
      <c r="R9" s="56"/>
      <c r="S9" s="56"/>
      <c r="T9" s="56"/>
      <c r="U9" s="56"/>
      <c r="V9" s="56"/>
      <c r="W9" s="56"/>
      <c r="X9" s="56"/>
      <c r="Y9" s="56"/>
      <c r="Z9" s="56"/>
      <c r="AA9" s="56"/>
      <c r="AB9" s="56"/>
      <c r="AC9" s="56"/>
      <c r="AD9" s="56"/>
      <c r="AE9" s="56"/>
      <c r="AF9" s="56"/>
      <c r="AG9" s="56"/>
      <c r="AH9" s="56"/>
      <c r="AI9" s="56"/>
      <c r="AJ9" s="56"/>
      <c r="AK9" s="56"/>
    </row>
    <row r="10" spans="1:37" s="11" customFormat="1" ht="15" thickBot="1" x14ac:dyDescent="0.4">
      <c r="A10" s="1" t="s">
        <v>40</v>
      </c>
      <c r="B10" s="91" t="s">
        <v>41</v>
      </c>
      <c r="C10" s="92"/>
      <c r="D10" s="92"/>
      <c r="E10" s="92"/>
      <c r="F10" s="92"/>
      <c r="G10" s="92"/>
      <c r="H10" s="92"/>
      <c r="I10" s="92"/>
      <c r="J10" s="92"/>
      <c r="K10" s="93"/>
    </row>
    <row r="11" spans="1:37" ht="15" thickBot="1" x14ac:dyDescent="0.4">
      <c r="A11" s="27" t="s">
        <v>7</v>
      </c>
      <c r="B11" s="34">
        <v>10.119999999999999</v>
      </c>
      <c r="C11" s="34">
        <v>43.061</v>
      </c>
      <c r="D11" s="34">
        <v>63.195</v>
      </c>
      <c r="E11" s="34">
        <v>85.528999999999996</v>
      </c>
      <c r="F11" s="34">
        <v>112.102</v>
      </c>
      <c r="G11" s="34">
        <v>146.72</v>
      </c>
      <c r="H11" s="43">
        <v>291.10000000000002</v>
      </c>
      <c r="I11" s="70">
        <f>Table357[[#All],[Column8]]</f>
        <v>291.10000000000002</v>
      </c>
      <c r="J11" s="70">
        <f>Table357[[#All],[Column9]]</f>
        <v>291.10000000000002</v>
      </c>
      <c r="K11" s="70">
        <f>Table357[[#All],[Column10]]</f>
        <v>291.10000000000002</v>
      </c>
      <c r="L11" s="34"/>
      <c r="M11" s="34"/>
      <c r="N11" s="34"/>
      <c r="O11" s="43"/>
      <c r="P11" s="43"/>
      <c r="Q11" s="43"/>
      <c r="R11" s="43"/>
      <c r="S11" s="34"/>
      <c r="T11" s="34"/>
      <c r="U11" s="34"/>
      <c r="V11" s="34"/>
      <c r="W11" s="34"/>
      <c r="X11" s="34"/>
      <c r="Y11" s="43"/>
      <c r="Z11" s="43"/>
      <c r="AA11" s="43"/>
      <c r="AB11" s="43"/>
      <c r="AC11" s="43"/>
      <c r="AD11" s="43"/>
      <c r="AE11" s="43"/>
      <c r="AF11" s="43"/>
      <c r="AG11" s="43"/>
      <c r="AH11" s="43"/>
      <c r="AI11" s="43"/>
      <c r="AJ11" s="43"/>
      <c r="AK11" s="43"/>
    </row>
    <row r="12" spans="1:37" ht="15" thickBot="1" x14ac:dyDescent="0.4">
      <c r="A12" s="27" t="s">
        <v>9</v>
      </c>
      <c r="B12" s="34">
        <v>10.119999999999999</v>
      </c>
      <c r="C12" s="34">
        <v>43.061</v>
      </c>
      <c r="D12" s="34">
        <v>63.195</v>
      </c>
      <c r="E12" s="34">
        <v>85.528999999999996</v>
      </c>
      <c r="F12" s="34">
        <v>112.102</v>
      </c>
      <c r="G12" s="34">
        <v>146.72</v>
      </c>
      <c r="H12" s="43">
        <v>291.10000000000002</v>
      </c>
      <c r="I12" s="70">
        <f>Table357[[#All],[Column8]]</f>
        <v>291.10000000000002</v>
      </c>
      <c r="J12" s="70">
        <f>Table357[[#All],[Column9]]</f>
        <v>291.10000000000002</v>
      </c>
      <c r="K12" s="70">
        <f>Table357[[#All],[Column10]]</f>
        <v>291.10000000000002</v>
      </c>
      <c r="L12" s="34"/>
      <c r="M12" s="34"/>
      <c r="N12" s="34"/>
      <c r="O12" s="43"/>
      <c r="P12" s="43"/>
      <c r="Q12" s="43"/>
      <c r="R12" s="43"/>
      <c r="S12" s="34"/>
      <c r="T12" s="34"/>
      <c r="U12" s="34"/>
      <c r="V12" s="34"/>
      <c r="W12" s="34"/>
      <c r="X12" s="34"/>
      <c r="Y12" s="34"/>
      <c r="Z12" s="34"/>
      <c r="AA12" s="34"/>
      <c r="AB12" s="34"/>
      <c r="AC12" s="34"/>
      <c r="AD12" s="34"/>
      <c r="AE12" s="34"/>
      <c r="AF12" s="34"/>
      <c r="AG12" s="34"/>
      <c r="AH12" s="34"/>
      <c r="AI12" s="34"/>
      <c r="AJ12" s="34"/>
      <c r="AK12" s="34"/>
    </row>
    <row r="13" spans="1:37" ht="15" thickBot="1" x14ac:dyDescent="0.4">
      <c r="A13" s="27" t="s">
        <v>11</v>
      </c>
      <c r="B13" s="34">
        <v>10.119999999999999</v>
      </c>
      <c r="C13" s="34">
        <v>43.061</v>
      </c>
      <c r="D13" s="34">
        <v>63.195</v>
      </c>
      <c r="E13" s="34">
        <v>85.528999999999996</v>
      </c>
      <c r="F13" s="34">
        <v>112.102</v>
      </c>
      <c r="G13" s="34">
        <v>146.72</v>
      </c>
      <c r="H13" s="43">
        <v>291.10000000000002</v>
      </c>
      <c r="I13" s="70">
        <f>Table357[[#All],[Column8]]</f>
        <v>291.10000000000002</v>
      </c>
      <c r="J13" s="70">
        <f>Table357[[#All],[Column9]]</f>
        <v>291.10000000000002</v>
      </c>
      <c r="K13" s="70">
        <f>Table357[[#All],[Column10]]</f>
        <v>291.10000000000002</v>
      </c>
      <c r="L13" s="34"/>
      <c r="M13" s="34"/>
      <c r="N13" s="34"/>
      <c r="O13" s="43"/>
      <c r="P13" s="43"/>
      <c r="Q13" s="43"/>
      <c r="R13" s="43"/>
      <c r="S13" s="34"/>
      <c r="T13" s="34"/>
      <c r="U13" s="34"/>
      <c r="V13" s="34"/>
      <c r="W13" s="34"/>
      <c r="X13" s="34"/>
      <c r="Y13" s="34"/>
      <c r="Z13" s="34"/>
      <c r="AA13" s="34"/>
      <c r="AB13" s="34"/>
      <c r="AC13" s="34"/>
      <c r="AD13" s="34"/>
      <c r="AE13" s="34"/>
      <c r="AF13" s="34"/>
      <c r="AG13" s="34"/>
      <c r="AH13" s="34"/>
      <c r="AI13" s="34"/>
      <c r="AJ13" s="34"/>
      <c r="AK13" s="34"/>
    </row>
    <row r="14" spans="1:37" ht="15" thickBot="1" x14ac:dyDescent="0.4">
      <c r="A14" s="27" t="s">
        <v>13</v>
      </c>
      <c r="B14" s="14"/>
      <c r="C14" s="14"/>
      <c r="D14" s="14"/>
      <c r="E14" s="14"/>
      <c r="F14" s="34"/>
      <c r="G14" s="34"/>
      <c r="H14" s="34"/>
      <c r="I14" s="34"/>
      <c r="J14" s="34">
        <v>112</v>
      </c>
      <c r="K14" s="34">
        <v>291.10000000000002</v>
      </c>
      <c r="L14" s="34"/>
      <c r="M14" s="34"/>
      <c r="N14" s="34"/>
      <c r="O14" s="34"/>
      <c r="P14" s="34"/>
      <c r="Q14" s="43"/>
      <c r="R14" s="43"/>
      <c r="S14" s="34"/>
      <c r="T14" s="34"/>
      <c r="U14" s="34"/>
      <c r="V14" s="34"/>
      <c r="W14" s="34"/>
      <c r="X14" s="34"/>
      <c r="Y14" s="34"/>
      <c r="Z14" s="34"/>
      <c r="AA14" s="34"/>
      <c r="AB14" s="34"/>
      <c r="AC14" s="34"/>
      <c r="AD14" s="34"/>
      <c r="AE14" s="34"/>
      <c r="AF14" s="34"/>
      <c r="AG14" s="34"/>
      <c r="AH14" s="34"/>
      <c r="AI14" s="34"/>
      <c r="AJ14" s="34"/>
      <c r="AK14" s="34"/>
    </row>
    <row r="15" spans="1:37" ht="15" thickBot="1" x14ac:dyDescent="0.4">
      <c r="A15" s="27" t="s">
        <v>15</v>
      </c>
      <c r="B15" s="16"/>
      <c r="C15" s="16"/>
      <c r="D15" s="16"/>
      <c r="E15" s="16"/>
      <c r="F15" s="16"/>
      <c r="G15" s="16"/>
      <c r="H15" s="16"/>
      <c r="I15" s="16"/>
      <c r="J15" s="16">
        <v>112</v>
      </c>
      <c r="K15" s="36">
        <v>291.10000000000002</v>
      </c>
      <c r="L15" s="36"/>
      <c r="M15" s="36"/>
      <c r="N15" s="36"/>
      <c r="O15" s="34"/>
      <c r="P15" s="34"/>
      <c r="Q15" s="34"/>
      <c r="R15" s="43"/>
      <c r="S15" s="36"/>
      <c r="T15" s="36"/>
      <c r="U15" s="36"/>
      <c r="V15" s="36"/>
      <c r="W15" s="36"/>
      <c r="X15" s="36"/>
      <c r="Y15" s="34"/>
      <c r="Z15" s="34"/>
      <c r="AA15" s="34"/>
      <c r="AB15" s="34"/>
      <c r="AC15" s="34"/>
      <c r="AD15" s="34"/>
      <c r="AE15" s="34"/>
      <c r="AF15" s="34"/>
      <c r="AG15" s="34"/>
      <c r="AH15" s="34"/>
      <c r="AI15" s="34"/>
      <c r="AJ15" s="34"/>
      <c r="AK15" s="34"/>
    </row>
    <row r="16" spans="1:37" ht="15" thickBot="1" x14ac:dyDescent="0.4">
      <c r="A16" s="27" t="s">
        <v>42</v>
      </c>
      <c r="B16" s="14"/>
      <c r="C16" s="14"/>
      <c r="D16" s="14"/>
      <c r="E16" s="14"/>
      <c r="F16" s="14"/>
      <c r="G16" s="14">
        <v>112</v>
      </c>
      <c r="H16" s="14">
        <v>112</v>
      </c>
      <c r="I16" s="14">
        <v>291</v>
      </c>
      <c r="J16" s="71">
        <f>Table357[[#This Row],[Column9]]</f>
        <v>291</v>
      </c>
      <c r="K16" s="71">
        <f>Table357[[#This Row],[Column10]]</f>
        <v>291</v>
      </c>
      <c r="L16" s="14"/>
      <c r="M16" s="14"/>
      <c r="N16" s="14"/>
      <c r="O16" s="14"/>
      <c r="P16" s="36"/>
      <c r="Q16" s="36"/>
      <c r="R16" s="43"/>
      <c r="S16" s="14"/>
      <c r="T16" s="14"/>
      <c r="U16" s="14"/>
      <c r="V16" s="14"/>
      <c r="W16" s="14"/>
      <c r="X16" s="14"/>
      <c r="Y16" s="16"/>
      <c r="Z16" s="16"/>
      <c r="AA16" s="16"/>
      <c r="AB16" s="16"/>
      <c r="AC16" s="36"/>
      <c r="AD16" s="36"/>
      <c r="AE16" s="36"/>
      <c r="AF16" s="36"/>
      <c r="AG16" s="36"/>
      <c r="AH16" s="36"/>
      <c r="AI16" s="36"/>
      <c r="AJ16" s="36"/>
      <c r="AK16" s="36"/>
    </row>
    <row r="17" spans="1:37" x14ac:dyDescent="0.35">
      <c r="A17" s="62"/>
      <c r="B17" s="63"/>
      <c r="C17" s="63"/>
      <c r="D17" s="63"/>
      <c r="E17" s="63"/>
      <c r="F17" s="63"/>
      <c r="G17" s="63"/>
      <c r="H17" s="63"/>
      <c r="I17" s="63"/>
      <c r="J17" s="63"/>
      <c r="K17" s="63"/>
      <c r="L17" s="63"/>
      <c r="M17" s="63"/>
      <c r="N17" s="63"/>
      <c r="O17" s="63"/>
      <c r="P17" s="64"/>
      <c r="Q17" s="64"/>
      <c r="R17" s="64"/>
      <c r="S17" s="63"/>
      <c r="T17" s="63"/>
      <c r="U17" s="63"/>
      <c r="V17" s="63"/>
      <c r="W17" s="63"/>
      <c r="X17" s="63"/>
      <c r="Y17" s="63"/>
      <c r="Z17" s="63"/>
      <c r="AA17" s="63"/>
      <c r="AB17" s="63"/>
      <c r="AC17" s="64"/>
      <c r="AD17" s="64"/>
      <c r="AE17" s="64"/>
      <c r="AF17" s="64"/>
      <c r="AG17" s="64"/>
      <c r="AH17" s="64"/>
      <c r="AI17" s="64"/>
      <c r="AJ17" s="64"/>
      <c r="AK17" s="64"/>
    </row>
    <row r="18" spans="1:37" ht="15" thickBot="1" x14ac:dyDescent="0.4"/>
    <row r="19" spans="1:37" x14ac:dyDescent="0.35">
      <c r="A19" s="97" t="s">
        <v>43</v>
      </c>
      <c r="B19" s="98"/>
      <c r="C19" s="98"/>
      <c r="D19" s="98"/>
      <c r="E19" s="98"/>
      <c r="F19" s="98"/>
      <c r="G19" s="98"/>
      <c r="H19" s="98"/>
      <c r="I19" s="98"/>
      <c r="J19" s="98"/>
      <c r="K19" s="99"/>
    </row>
    <row r="20" spans="1:37" x14ac:dyDescent="0.35">
      <c r="A20" s="100" t="s">
        <v>44</v>
      </c>
      <c r="B20" s="101"/>
      <c r="C20" s="101"/>
      <c r="D20" s="101"/>
      <c r="E20" s="101"/>
      <c r="F20" s="101"/>
      <c r="G20" s="101"/>
      <c r="H20" s="101"/>
      <c r="I20" s="101"/>
      <c r="J20" s="101"/>
      <c r="K20" s="102"/>
    </row>
    <row r="21" spans="1:37" x14ac:dyDescent="0.35">
      <c r="A21" s="100" t="s">
        <v>45</v>
      </c>
      <c r="B21" s="101"/>
      <c r="C21" s="101"/>
      <c r="D21" s="101"/>
      <c r="E21" s="101"/>
      <c r="F21" s="101"/>
      <c r="G21" s="101"/>
      <c r="H21" s="101"/>
      <c r="I21" s="101"/>
      <c r="J21" s="101"/>
      <c r="K21" s="102"/>
    </row>
    <row r="22" spans="1:37" ht="15" thickBot="1" x14ac:dyDescent="0.4">
      <c r="A22" s="94" t="s">
        <v>46</v>
      </c>
      <c r="B22" s="95"/>
      <c r="C22" s="95"/>
      <c r="D22" s="95"/>
      <c r="E22" s="95"/>
      <c r="F22" s="95"/>
      <c r="G22" s="95"/>
      <c r="H22" s="95"/>
      <c r="I22" s="95"/>
      <c r="J22" s="95"/>
      <c r="K22" s="96"/>
    </row>
    <row r="25" spans="1:37" hidden="1" x14ac:dyDescent="0.35">
      <c r="B25">
        <f>IF(SUM(B8,B11:B19)=SUM(A8,A11:A19),0,1)</f>
        <v>1</v>
      </c>
      <c r="C25">
        <f t="shared" ref="C25:K25" si="0">IF(SUM(C8,C11:C19)=SUM(B8,B11:B19),0,1)</f>
        <v>1</v>
      </c>
      <c r="D25">
        <f t="shared" si="0"/>
        <v>1</v>
      </c>
      <c r="E25">
        <f t="shared" si="0"/>
        <v>1</v>
      </c>
      <c r="F25">
        <f t="shared" si="0"/>
        <v>1</v>
      </c>
      <c r="G25">
        <f t="shared" si="0"/>
        <v>1</v>
      </c>
      <c r="H25">
        <f t="shared" si="0"/>
        <v>1</v>
      </c>
      <c r="I25">
        <f t="shared" si="0"/>
        <v>1</v>
      </c>
      <c r="J25">
        <f t="shared" si="0"/>
        <v>1</v>
      </c>
      <c r="K25">
        <f t="shared" si="0"/>
        <v>1</v>
      </c>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I7:AK7">
    <cfRule type="containsText" dxfId="1353" priority="6" operator="containsText" text="10/12/xxxx">
      <formula>NOT(ISERROR(SEARCH("10/12/xxxx",I7)))</formula>
    </cfRule>
  </conditionalFormatting>
  <conditionalFormatting sqref="B9:AK9">
    <cfRule type="containsText" dxfId="1352" priority="5" operator="containsText" text="xx/xx/xxxx">
      <formula>NOT(ISERROR(SEARCH("xx/xx/xxxx",B9)))</formula>
    </cfRule>
  </conditionalFormatting>
  <conditionalFormatting sqref="B7:C7">
    <cfRule type="containsText" dxfId="1351" priority="4" operator="containsText" text="10/12/xxxx">
      <formula>NOT(ISERROR(SEARCH("10/12/xxxx",B7)))</formula>
    </cfRule>
  </conditionalFormatting>
  <conditionalFormatting sqref="D7:F7">
    <cfRule type="containsText" dxfId="1350" priority="3" operator="containsText" text="10/12/xxxx">
      <formula>NOT(ISERROR(SEARCH("10/12/xxxx",D7)))</formula>
    </cfRule>
  </conditionalFormatting>
  <conditionalFormatting sqref="G7">
    <cfRule type="containsText" dxfId="1349" priority="2" operator="containsText" text="10/12/xxxx">
      <formula>NOT(ISERROR(SEARCH("10/12/xxxx",G7)))</formula>
    </cfRule>
  </conditionalFormatting>
  <conditionalFormatting sqref="H7">
    <cfRule type="containsText" dxfId="1348" priority="1" operator="containsText" text="10/12/xxxx">
      <formula>NOT(ISERROR(SEARCH("10/12/xxxx",H7)))</formula>
    </cfRule>
  </conditionalFormatting>
  <dataValidations count="5">
    <dataValidation allowBlank="1" showInputMessage="1" showErrorMessage="1" promptTitle="Insert Date" prompt="Please insert the date the area is available for rehabilitation" sqref="B7:AK7" xr:uid="{4417CACD-4323-4243-90AC-584485707D40}"/>
    <dataValidation allowBlank="1" showInputMessage="1" showErrorMessage="1" promptTitle="Insert Date" prompt="Please insert the data the milestone is to be completed by" sqref="B9:AK9" xr:uid="{CCE71F68-B459-441C-A7FF-6BC86B14C3D7}"/>
    <dataValidation allowBlank="1" showInputMessage="1" showErrorMessage="1" promptTitle="Insert Area (ha)" prompt="Please insert the cumulative area available in hectares (ha)" sqref="B8:F8 I8:K8" xr:uid="{0A7EFDEF-A757-43AA-B6F8-84D8017D738C}"/>
    <dataValidation allowBlank="1" showInputMessage="1" showErrorMessage="1" promptTitle="Insert Area (ha)" prompt="Please insert the cumulative area achieved in hectares (ha) as required" sqref="D11:AK13 B11:C17 D15:G17 R15:R17 Q14:R14 H16:K17" xr:uid="{9B2D77BD-1AAC-4E00-B6C6-28F4BCF866CF}"/>
    <dataValidation allowBlank="1" showInputMessage="1" showErrorMessage="1" prompt="Please input the correct Rehabilitation Area number (RA#)" sqref="E2:K2" xr:uid="{3020CE8F-F18F-410A-A30D-F83FE3168AAE}"/>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EDD6D-A710-466F-811F-3287954AC284}">
  <dimension ref="A1:AM25"/>
  <sheetViews>
    <sheetView zoomScale="70" zoomScaleNormal="70" workbookViewId="0">
      <pane xSplit="11" topLeftCell="X1" activePane="topRight" state="frozen"/>
      <selection pane="topRight" activeCell="G33" sqref="G33"/>
    </sheetView>
  </sheetViews>
  <sheetFormatPr defaultColWidth="12.1796875" defaultRowHeight="14.5" x14ac:dyDescent="0.35"/>
  <cols>
    <col min="1" max="1" width="36.81640625" style="2" bestFit="1" customWidth="1"/>
    <col min="12" max="39" width="12.1796875" hidden="1" customWidth="1"/>
    <col min="40" max="40" width="0" hidden="1" customWidth="1"/>
  </cols>
  <sheetData>
    <row r="1" spans="1:39" ht="23.25" customHeight="1" thickBot="1" x14ac:dyDescent="0.5">
      <c r="A1" s="83" t="s">
        <v>28</v>
      </c>
      <c r="B1" s="84"/>
      <c r="C1" s="84"/>
      <c r="D1" s="84"/>
      <c r="E1" s="84"/>
      <c r="F1" s="84"/>
      <c r="G1" s="84"/>
      <c r="H1" s="84"/>
      <c r="I1" s="84"/>
      <c r="J1" s="84"/>
      <c r="K1" s="85"/>
    </row>
    <row r="2" spans="1:39" ht="16" customHeight="1" thickBot="1" x14ac:dyDescent="0.4">
      <c r="A2" s="90" t="s">
        <v>29</v>
      </c>
      <c r="B2" s="90"/>
      <c r="C2" s="90"/>
      <c r="D2" s="90"/>
      <c r="E2" s="86" t="s">
        <v>51</v>
      </c>
      <c r="F2" s="86"/>
      <c r="G2" s="86"/>
      <c r="H2" s="86"/>
      <c r="I2" s="86"/>
      <c r="J2" s="86"/>
      <c r="K2" s="86"/>
    </row>
    <row r="3" spans="1:39" ht="16" customHeight="1" thickBot="1" x14ac:dyDescent="0.4">
      <c r="A3" s="90" t="s">
        <v>31</v>
      </c>
      <c r="B3" s="90"/>
      <c r="C3" s="90"/>
      <c r="D3" s="90"/>
      <c r="E3" s="86" t="s">
        <v>52</v>
      </c>
      <c r="F3" s="86"/>
      <c r="G3" s="86"/>
      <c r="H3" s="86"/>
      <c r="I3" s="86"/>
      <c r="J3" s="86"/>
      <c r="K3" s="86"/>
    </row>
    <row r="4" spans="1:39" ht="16" customHeight="1" thickBot="1" x14ac:dyDescent="0.4">
      <c r="A4" s="90" t="s">
        <v>33</v>
      </c>
      <c r="B4" s="90"/>
      <c r="C4" s="90"/>
      <c r="D4" s="90"/>
      <c r="E4" s="87">
        <v>227.9</v>
      </c>
      <c r="F4" s="87"/>
      <c r="G4" s="87"/>
      <c r="H4" s="87"/>
      <c r="I4" s="87"/>
      <c r="J4" s="87"/>
      <c r="K4" s="87"/>
    </row>
    <row r="5" spans="1:39" ht="32.15" customHeight="1" thickBot="1" x14ac:dyDescent="0.4">
      <c r="A5" s="89" t="s">
        <v>34</v>
      </c>
      <c r="B5" s="89"/>
      <c r="C5" s="89"/>
      <c r="D5" s="89"/>
      <c r="E5" s="88">
        <v>54789</v>
      </c>
      <c r="F5" s="86"/>
      <c r="G5" s="86"/>
      <c r="H5" s="86"/>
      <c r="I5" s="86"/>
      <c r="J5" s="86"/>
      <c r="K5" s="86"/>
    </row>
    <row r="6" spans="1:39" ht="16" customHeight="1" thickBot="1" x14ac:dyDescent="0.4">
      <c r="A6" s="90" t="s">
        <v>35</v>
      </c>
      <c r="B6" s="90"/>
      <c r="C6" s="90"/>
      <c r="D6" s="90"/>
      <c r="E6" s="86" t="s">
        <v>53</v>
      </c>
      <c r="F6" s="86"/>
      <c r="G6" s="86"/>
      <c r="H6" s="86"/>
      <c r="I6" s="86"/>
      <c r="J6" s="86"/>
      <c r="K6" s="86"/>
    </row>
    <row r="7" spans="1:39" ht="31" customHeight="1" thickBot="1" x14ac:dyDescent="0.4">
      <c r="A7" s="3" t="s">
        <v>37</v>
      </c>
      <c r="B7" s="12">
        <v>54767</v>
      </c>
      <c r="C7" s="12">
        <v>55497</v>
      </c>
      <c r="D7" s="12">
        <v>55863</v>
      </c>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row>
    <row r="8" spans="1:39" ht="31" customHeight="1" thickBot="1" x14ac:dyDescent="0.4">
      <c r="A8" s="78" t="s">
        <v>38</v>
      </c>
      <c r="B8" s="79">
        <v>24.1</v>
      </c>
      <c r="C8" s="79">
        <v>135.30000000000001</v>
      </c>
      <c r="D8" s="79">
        <v>227.8</v>
      </c>
      <c r="E8" s="79"/>
      <c r="F8" s="79"/>
      <c r="G8" s="79"/>
      <c r="H8" s="79"/>
      <c r="I8" s="79"/>
      <c r="J8" s="79"/>
      <c r="K8" s="79"/>
      <c r="L8" s="19"/>
      <c r="M8" s="20"/>
      <c r="N8" s="20"/>
      <c r="O8" s="20"/>
      <c r="P8" s="19"/>
      <c r="Q8" s="20"/>
      <c r="R8" s="20"/>
      <c r="S8" s="20"/>
      <c r="T8" s="20"/>
      <c r="U8" s="20"/>
      <c r="V8" s="20"/>
      <c r="W8" s="20"/>
      <c r="X8" s="20"/>
      <c r="Y8" s="20"/>
      <c r="Z8" s="20"/>
      <c r="AA8" s="20"/>
      <c r="AB8" s="20"/>
      <c r="AC8" s="20"/>
      <c r="AD8" s="20"/>
      <c r="AE8" s="20"/>
      <c r="AF8" s="20"/>
      <c r="AG8" s="20"/>
      <c r="AH8" s="20"/>
      <c r="AI8" s="20"/>
      <c r="AJ8" s="20"/>
      <c r="AK8" s="20"/>
      <c r="AL8" s="20"/>
      <c r="AM8" s="20"/>
    </row>
    <row r="9" spans="1:39" ht="22.5" customHeight="1" thickBot="1" x14ac:dyDescent="0.4">
      <c r="A9" s="55" t="s">
        <v>39</v>
      </c>
      <c r="B9" s="56">
        <v>56593</v>
      </c>
      <c r="C9" s="56">
        <v>56958</v>
      </c>
      <c r="D9" s="56">
        <v>57689</v>
      </c>
      <c r="E9" s="56">
        <v>60246</v>
      </c>
      <c r="F9" s="56">
        <v>60611</v>
      </c>
      <c r="G9" s="56">
        <v>61341</v>
      </c>
      <c r="H9" s="56"/>
      <c r="I9" s="56"/>
      <c r="J9" s="56"/>
      <c r="K9" s="56"/>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row>
    <row r="10" spans="1:39" s="11" customFormat="1" ht="15" thickBot="1" x14ac:dyDescent="0.4">
      <c r="A10" s="1" t="s">
        <v>40</v>
      </c>
      <c r="B10" s="91" t="s">
        <v>41</v>
      </c>
      <c r="C10" s="92"/>
      <c r="D10" s="92"/>
      <c r="E10" s="92"/>
      <c r="F10" s="92"/>
      <c r="G10" s="92"/>
      <c r="H10" s="92"/>
      <c r="I10" s="92"/>
      <c r="J10" s="92"/>
      <c r="K10" s="93"/>
    </row>
    <row r="11" spans="1:39" ht="15" thickBot="1" x14ac:dyDescent="0.4">
      <c r="A11" s="4" t="s">
        <v>7</v>
      </c>
      <c r="B11" s="43">
        <v>24.1</v>
      </c>
      <c r="C11" s="43">
        <v>135.30000000000001</v>
      </c>
      <c r="D11" s="43">
        <v>227.9</v>
      </c>
      <c r="E11" s="72">
        <f>Table3579[[#This Row],[Column4]]</f>
        <v>227.9</v>
      </c>
      <c r="F11" s="72">
        <f>Table3579[[#This Row],[Column5]]</f>
        <v>227.9</v>
      </c>
      <c r="G11" s="72">
        <f>Table3579[[#This Row],[Column6]]</f>
        <v>227.9</v>
      </c>
      <c r="H11" s="72">
        <f>Table3579[[#This Row],[Column7]]</f>
        <v>227.9</v>
      </c>
      <c r="I11" s="72">
        <f>Table3579[[#This Row],[Column8]]</f>
        <v>227.9</v>
      </c>
      <c r="J11" s="72">
        <f>Table3579[[#This Row],[Column9]]</f>
        <v>227.9</v>
      </c>
      <c r="K11" s="72">
        <f>Table3579[[#This Row],[Column10]]</f>
        <v>227.9</v>
      </c>
      <c r="L11" s="18"/>
      <c r="M11" s="18"/>
      <c r="N11" s="18"/>
      <c r="O11" s="18"/>
      <c r="P11" s="18"/>
      <c r="Q11" s="18"/>
      <c r="R11" s="18"/>
      <c r="S11" s="18"/>
      <c r="T11" s="18"/>
      <c r="U11" s="18"/>
      <c r="V11" s="18"/>
      <c r="W11" s="18"/>
      <c r="X11" s="18"/>
      <c r="Y11" s="43"/>
      <c r="Z11" s="43"/>
      <c r="AA11" s="43"/>
      <c r="AB11" s="43"/>
      <c r="AC11" s="43"/>
      <c r="AD11" s="43"/>
      <c r="AE11" s="43"/>
      <c r="AF11" s="43"/>
      <c r="AG11" s="43"/>
      <c r="AH11" s="43"/>
      <c r="AI11" s="43"/>
      <c r="AJ11" s="43"/>
      <c r="AK11" s="43"/>
      <c r="AL11" s="43"/>
      <c r="AM11" s="43"/>
    </row>
    <row r="12" spans="1:39" ht="15" thickBot="1" x14ac:dyDescent="0.4">
      <c r="A12" s="4" t="s">
        <v>9</v>
      </c>
      <c r="B12" s="34">
        <v>24.1</v>
      </c>
      <c r="C12" s="34">
        <v>135.30000000000001</v>
      </c>
      <c r="D12" s="43">
        <v>227.9</v>
      </c>
      <c r="E12" s="72">
        <f>Table3579[[#This Row],[Column4]]</f>
        <v>227.9</v>
      </c>
      <c r="F12" s="72">
        <f>Table3579[[#This Row],[Column5]]</f>
        <v>227.9</v>
      </c>
      <c r="G12" s="72">
        <f>Table3579[[#This Row],[Column6]]</f>
        <v>227.9</v>
      </c>
      <c r="H12" s="72">
        <f>Table3579[[#This Row],[Column7]]</f>
        <v>227.9</v>
      </c>
      <c r="I12" s="72">
        <f>Table3579[[#This Row],[Column8]]</f>
        <v>227.9</v>
      </c>
      <c r="J12" s="72">
        <f>Table3579[[#This Row],[Column9]]</f>
        <v>227.9</v>
      </c>
      <c r="K12" s="72">
        <f>Table3579[[#This Row],[Column10]]</f>
        <v>227.9</v>
      </c>
      <c r="L12" s="14"/>
      <c r="M12" s="14"/>
      <c r="N12" s="14"/>
      <c r="O12" s="14"/>
      <c r="P12" s="14"/>
      <c r="Q12" s="14"/>
      <c r="R12" s="14"/>
      <c r="S12" s="14"/>
      <c r="T12" s="14"/>
      <c r="U12" s="14"/>
      <c r="V12" s="14"/>
      <c r="W12" s="14"/>
      <c r="X12" s="14"/>
      <c r="Y12" s="34"/>
      <c r="Z12" s="34"/>
      <c r="AA12" s="34"/>
      <c r="AB12" s="43"/>
      <c r="AC12" s="43"/>
      <c r="AD12" s="43"/>
      <c r="AE12" s="43"/>
      <c r="AF12" s="43"/>
      <c r="AG12" s="43"/>
      <c r="AH12" s="43"/>
      <c r="AI12" s="43"/>
      <c r="AJ12" s="43"/>
      <c r="AK12" s="43"/>
      <c r="AL12" s="43"/>
      <c r="AM12" s="43"/>
    </row>
    <row r="13" spans="1:39" ht="15" thickBot="1" x14ac:dyDescent="0.4">
      <c r="A13" s="4" t="s">
        <v>10</v>
      </c>
      <c r="B13" s="34">
        <v>24.1</v>
      </c>
      <c r="C13" s="34">
        <v>135.30000000000001</v>
      </c>
      <c r="D13" s="43">
        <v>227.9</v>
      </c>
      <c r="E13" s="72">
        <f>Table3579[[#This Row],[Column4]]</f>
        <v>227.9</v>
      </c>
      <c r="F13" s="72">
        <f>Table3579[[#This Row],[Column5]]</f>
        <v>227.9</v>
      </c>
      <c r="G13" s="72">
        <f>Table3579[[#This Row],[Column6]]</f>
        <v>227.9</v>
      </c>
      <c r="H13" s="72">
        <f>Table3579[[#This Row],[Column7]]</f>
        <v>227.9</v>
      </c>
      <c r="I13" s="72">
        <f>Table3579[[#This Row],[Column8]]</f>
        <v>227.9</v>
      </c>
      <c r="J13" s="72">
        <f>Table3579[[#This Row],[Column9]]</f>
        <v>227.9</v>
      </c>
      <c r="K13" s="72">
        <f>Table3579[[#This Row],[Column10]]</f>
        <v>227.9</v>
      </c>
      <c r="L13" s="14"/>
      <c r="M13" s="14"/>
      <c r="N13" s="14"/>
      <c r="O13" s="14"/>
      <c r="P13" s="14"/>
      <c r="Q13" s="14"/>
      <c r="R13" s="14"/>
      <c r="S13" s="14"/>
      <c r="T13" s="14"/>
      <c r="U13" s="14"/>
      <c r="V13" s="14"/>
      <c r="W13" s="14"/>
      <c r="X13" s="14"/>
      <c r="Y13" s="34"/>
      <c r="Z13" s="34"/>
      <c r="AA13" s="34"/>
      <c r="AB13" s="43"/>
      <c r="AC13" s="43"/>
      <c r="AD13" s="43"/>
      <c r="AE13" s="43"/>
      <c r="AF13" s="43"/>
      <c r="AG13" s="43"/>
      <c r="AH13" s="43"/>
      <c r="AI13" s="43"/>
      <c r="AJ13" s="43"/>
      <c r="AK13" s="43"/>
      <c r="AL13" s="43"/>
      <c r="AM13" s="43"/>
    </row>
    <row r="14" spans="1:39" ht="15" thickBot="1" x14ac:dyDescent="0.4">
      <c r="A14" s="4" t="s">
        <v>12</v>
      </c>
      <c r="B14" s="14"/>
      <c r="C14" s="34"/>
      <c r="D14" s="34"/>
      <c r="E14" s="34">
        <v>24</v>
      </c>
      <c r="F14" s="43">
        <v>135</v>
      </c>
      <c r="G14" s="43">
        <v>227.9</v>
      </c>
      <c r="H14" s="72">
        <f>Table3579[[#This Row],[Column7]]</f>
        <v>227.9</v>
      </c>
      <c r="I14" s="72">
        <f>Table3579[[#This Row],[Column8]]</f>
        <v>227.9</v>
      </c>
      <c r="J14" s="72">
        <f>Table3579[[#This Row],[Column9]]</f>
        <v>227.9</v>
      </c>
      <c r="K14" s="72">
        <f>Table3579[[#This Row],[Column10]]</f>
        <v>227.9</v>
      </c>
      <c r="L14" s="14"/>
      <c r="M14" s="14"/>
      <c r="N14" s="14"/>
      <c r="O14" s="14"/>
      <c r="P14" s="14"/>
      <c r="Q14" s="14"/>
      <c r="R14" s="14"/>
      <c r="S14" s="14"/>
      <c r="T14" s="14"/>
      <c r="U14" s="14"/>
      <c r="V14" s="14"/>
      <c r="W14" s="14"/>
      <c r="X14" s="14"/>
      <c r="Y14" s="34"/>
      <c r="Z14" s="14"/>
      <c r="AA14" s="34"/>
      <c r="AB14" s="34"/>
      <c r="AC14" s="34"/>
      <c r="AD14" s="43"/>
      <c r="AE14" s="43"/>
      <c r="AF14" s="43"/>
      <c r="AG14" s="43"/>
      <c r="AH14" s="43"/>
      <c r="AI14" s="43"/>
      <c r="AJ14" s="43"/>
      <c r="AK14" s="43"/>
      <c r="AL14" s="43"/>
      <c r="AM14" s="43"/>
    </row>
    <row r="15" spans="1:39" ht="15" thickBot="1" x14ac:dyDescent="0.4">
      <c r="A15" s="5" t="s">
        <v>14</v>
      </c>
      <c r="B15" s="16"/>
      <c r="C15" s="16"/>
      <c r="D15" s="16"/>
      <c r="E15" s="16">
        <v>24</v>
      </c>
      <c r="F15" s="36">
        <v>135</v>
      </c>
      <c r="G15" s="36">
        <v>227.9</v>
      </c>
      <c r="H15" s="72">
        <f>Table3579[[#This Row],[Column7]]</f>
        <v>227.9</v>
      </c>
      <c r="I15" s="72">
        <f>Table3579[[#This Row],[Column8]]</f>
        <v>227.9</v>
      </c>
      <c r="J15" s="72">
        <f>Table3579[[#This Row],[Column9]]</f>
        <v>227.9</v>
      </c>
      <c r="K15" s="72">
        <f>Table3579[[#This Row],[Column10]]</f>
        <v>227.9</v>
      </c>
      <c r="L15" s="16"/>
      <c r="M15" s="16"/>
      <c r="N15" s="16"/>
      <c r="O15" s="16"/>
      <c r="P15" s="16"/>
      <c r="Q15" s="16"/>
      <c r="R15" s="16"/>
      <c r="S15" s="16"/>
      <c r="T15" s="16"/>
      <c r="U15" s="16"/>
      <c r="V15" s="16"/>
      <c r="W15" s="16"/>
      <c r="X15" s="16"/>
      <c r="Y15" s="36"/>
      <c r="Z15" s="16"/>
      <c r="AA15" s="16"/>
      <c r="AB15" s="16"/>
      <c r="AC15" s="16"/>
      <c r="AD15" s="36"/>
      <c r="AE15" s="36"/>
      <c r="AF15" s="36"/>
      <c r="AG15" s="43"/>
      <c r="AH15" s="43"/>
      <c r="AI15" s="43"/>
      <c r="AJ15" s="43"/>
      <c r="AK15" s="43"/>
      <c r="AL15" s="43"/>
      <c r="AM15" s="43"/>
    </row>
    <row r="16" spans="1:39" x14ac:dyDescent="0.35">
      <c r="A16"/>
    </row>
    <row r="17" spans="1:11" x14ac:dyDescent="0.35">
      <c r="A17"/>
    </row>
    <row r="18" spans="1:11" ht="15" thickBot="1" x14ac:dyDescent="0.4"/>
    <row r="19" spans="1:11" x14ac:dyDescent="0.35">
      <c r="A19" s="97" t="s">
        <v>43</v>
      </c>
      <c r="B19" s="98"/>
      <c r="C19" s="98"/>
      <c r="D19" s="98"/>
      <c r="E19" s="98"/>
      <c r="F19" s="98"/>
      <c r="G19" s="98"/>
      <c r="H19" s="98"/>
      <c r="I19" s="98"/>
      <c r="J19" s="98"/>
      <c r="K19" s="99"/>
    </row>
    <row r="20" spans="1:11" x14ac:dyDescent="0.35">
      <c r="A20" s="100" t="s">
        <v>44</v>
      </c>
      <c r="B20" s="101"/>
      <c r="C20" s="101"/>
      <c r="D20" s="101"/>
      <c r="E20" s="101"/>
      <c r="F20" s="101"/>
      <c r="G20" s="101"/>
      <c r="H20" s="101"/>
      <c r="I20" s="101"/>
      <c r="J20" s="101"/>
      <c r="K20" s="102"/>
    </row>
    <row r="21" spans="1:11" x14ac:dyDescent="0.35">
      <c r="A21" s="100" t="s">
        <v>45</v>
      </c>
      <c r="B21" s="101"/>
      <c r="C21" s="101"/>
      <c r="D21" s="101"/>
      <c r="E21" s="101"/>
      <c r="F21" s="101"/>
      <c r="G21" s="101"/>
      <c r="H21" s="101"/>
      <c r="I21" s="101"/>
      <c r="J21" s="101"/>
      <c r="K21" s="102"/>
    </row>
    <row r="22" spans="1:11" ht="15" thickBot="1" x14ac:dyDescent="0.4">
      <c r="A22" s="94" t="s">
        <v>46</v>
      </c>
      <c r="B22" s="95"/>
      <c r="C22" s="95"/>
      <c r="D22" s="95"/>
      <c r="E22" s="95"/>
      <c r="F22" s="95"/>
      <c r="G22" s="95"/>
      <c r="H22" s="95"/>
      <c r="I22" s="95"/>
      <c r="J22" s="95"/>
      <c r="K22" s="96"/>
    </row>
    <row r="25" spans="1:11" hidden="1" x14ac:dyDescent="0.35">
      <c r="B25">
        <f>IF(SUM(B8,B11:B19)=SUM(A8,A11:A19),0,1)</f>
        <v>1</v>
      </c>
      <c r="C25">
        <f t="shared" ref="C25:K25" si="0">IF(SUM(C8,C11:C19)=SUM(B8,B11:B19),0,1)</f>
        <v>1</v>
      </c>
      <c r="D25">
        <f t="shared" si="0"/>
        <v>1</v>
      </c>
      <c r="E25">
        <f t="shared" si="0"/>
        <v>1</v>
      </c>
      <c r="F25">
        <f t="shared" si="0"/>
        <v>1</v>
      </c>
      <c r="G25">
        <f t="shared" si="0"/>
        <v>1</v>
      </c>
      <c r="H25">
        <f t="shared" si="0"/>
        <v>0</v>
      </c>
      <c r="I25">
        <f t="shared" si="0"/>
        <v>0</v>
      </c>
      <c r="J25">
        <f t="shared" si="0"/>
        <v>0</v>
      </c>
      <c r="K25">
        <f t="shared" si="0"/>
        <v>0</v>
      </c>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E7:AM7">
    <cfRule type="containsText" dxfId="1191" priority="4" operator="containsText" text="10/12/xxxx">
      <formula>NOT(ISERROR(SEARCH("10/12/xxxx",E7)))</formula>
    </cfRule>
  </conditionalFormatting>
  <conditionalFormatting sqref="B9:AM9">
    <cfRule type="containsText" dxfId="1190" priority="3" operator="containsText" text="xx/xx/xxxx">
      <formula>NOT(ISERROR(SEARCH("xx/xx/xxxx",B9)))</formula>
    </cfRule>
  </conditionalFormatting>
  <conditionalFormatting sqref="B7">
    <cfRule type="containsText" dxfId="1189" priority="2" operator="containsText" text="10/12/xxxx">
      <formula>NOT(ISERROR(SEARCH("10/12/xxxx",B7)))</formula>
    </cfRule>
  </conditionalFormatting>
  <conditionalFormatting sqref="C7:D7">
    <cfRule type="containsText" dxfId="1188" priority="1" operator="containsText" text="10/12/xxxx">
      <formula>NOT(ISERROR(SEARCH("10/12/xxxx",C7)))</formula>
    </cfRule>
  </conditionalFormatting>
  <dataValidations count="5">
    <dataValidation allowBlank="1" showInputMessage="1" showErrorMessage="1" prompt="Please input the correct Rehabilitation Area number (RA#)" sqref="E2:K2" xr:uid="{0038BA89-4005-4A64-9C3A-3B6DB25D75A3}"/>
    <dataValidation allowBlank="1" showInputMessage="1" showErrorMessage="1" promptTitle="Insert Area (ha)" prompt="Please insert the cumulative area available in hectares (ha)" sqref="E8:K8" xr:uid="{401FE377-7615-4382-8121-EFE6A66A18E4}"/>
    <dataValidation allowBlank="1" showInputMessage="1" showErrorMessage="1" promptTitle="Insert Date" prompt="Please insert the data the milestone is to be completed by" sqref="B9:AM9" xr:uid="{26D78916-73B2-475F-8AA8-A8F566D0483B}"/>
    <dataValidation allowBlank="1" showInputMessage="1" showErrorMessage="1" promptTitle="Insert Date" prompt="Please insert the date the area is available for rehabilitation" sqref="B7:AM7" xr:uid="{4AE6F839-9314-4E99-B93B-97833F7A5CD7}"/>
    <dataValidation allowBlank="1" showInputMessage="1" showErrorMessage="1" promptTitle="Rehabilitation Milestone" prompt="Insert the Rehabilitation Milestone number here (RM#)" sqref="A11:A15" xr:uid="{F09946C6-EA53-4822-82A7-472FB91A113E}"/>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E2ED5-DC92-4505-B949-0531ADD33AFA}">
  <dimension ref="A1:AN24"/>
  <sheetViews>
    <sheetView zoomScale="70" zoomScaleNormal="70" workbookViewId="0">
      <selection activeCell="I35" sqref="I35"/>
    </sheetView>
  </sheetViews>
  <sheetFormatPr defaultColWidth="12.1796875" defaultRowHeight="14.5" x14ac:dyDescent="0.35"/>
  <cols>
    <col min="1" max="1" width="36.81640625" style="2" bestFit="1" customWidth="1"/>
    <col min="12" max="40" width="12.1796875" hidden="1" customWidth="1"/>
  </cols>
  <sheetData>
    <row r="1" spans="1:40" ht="23.25" customHeight="1" thickBot="1" x14ac:dyDescent="0.5">
      <c r="A1" s="83" t="s">
        <v>28</v>
      </c>
      <c r="B1" s="84"/>
      <c r="C1" s="84"/>
      <c r="D1" s="84"/>
      <c r="E1" s="84"/>
      <c r="F1" s="84"/>
      <c r="G1" s="84"/>
      <c r="H1" s="84"/>
      <c r="I1" s="84"/>
      <c r="J1" s="84"/>
      <c r="K1" s="85"/>
    </row>
    <row r="2" spans="1:40" ht="16" customHeight="1" thickBot="1" x14ac:dyDescent="0.4">
      <c r="A2" s="90" t="s">
        <v>29</v>
      </c>
      <c r="B2" s="90"/>
      <c r="C2" s="90"/>
      <c r="D2" s="90"/>
      <c r="E2" s="86" t="s">
        <v>54</v>
      </c>
      <c r="F2" s="86"/>
      <c r="G2" s="86"/>
      <c r="H2" s="86"/>
      <c r="I2" s="86"/>
      <c r="J2" s="86"/>
      <c r="K2" s="86"/>
    </row>
    <row r="3" spans="1:40" ht="16" customHeight="1" thickBot="1" x14ac:dyDescent="0.4">
      <c r="A3" s="90" t="s">
        <v>31</v>
      </c>
      <c r="B3" s="90"/>
      <c r="C3" s="90"/>
      <c r="D3" s="90"/>
      <c r="E3" s="86" t="s">
        <v>55</v>
      </c>
      <c r="F3" s="86"/>
      <c r="G3" s="86"/>
      <c r="H3" s="86"/>
      <c r="I3" s="86"/>
      <c r="J3" s="86"/>
      <c r="K3" s="86"/>
    </row>
    <row r="4" spans="1:40" ht="16" customHeight="1" thickBot="1" x14ac:dyDescent="0.4">
      <c r="A4" s="90" t="s">
        <v>33</v>
      </c>
      <c r="B4" s="90"/>
      <c r="C4" s="90"/>
      <c r="D4" s="90"/>
      <c r="E4" s="87">
        <v>16.771999999999998</v>
      </c>
      <c r="F4" s="87"/>
      <c r="G4" s="87"/>
      <c r="H4" s="87"/>
      <c r="I4" s="87"/>
      <c r="J4" s="87"/>
      <c r="K4" s="87"/>
    </row>
    <row r="5" spans="1:40" ht="32.15" customHeight="1" thickBot="1" x14ac:dyDescent="0.4">
      <c r="A5" s="89" t="s">
        <v>56</v>
      </c>
      <c r="B5" s="89"/>
      <c r="C5" s="89"/>
      <c r="D5" s="89"/>
      <c r="E5" s="88">
        <v>55154</v>
      </c>
      <c r="F5" s="86"/>
      <c r="G5" s="86"/>
      <c r="H5" s="86"/>
      <c r="I5" s="86"/>
      <c r="J5" s="86"/>
      <c r="K5" s="86"/>
    </row>
    <row r="6" spans="1:40" ht="16" customHeight="1" thickBot="1" x14ac:dyDescent="0.4">
      <c r="A6" s="90" t="s">
        <v>35</v>
      </c>
      <c r="B6" s="90"/>
      <c r="C6" s="90"/>
      <c r="D6" s="90"/>
      <c r="E6" s="86" t="s">
        <v>53</v>
      </c>
      <c r="F6" s="86"/>
      <c r="G6" s="86"/>
      <c r="H6" s="86"/>
      <c r="I6" s="86"/>
      <c r="J6" s="86"/>
      <c r="K6" s="86"/>
    </row>
    <row r="7" spans="1:40" ht="31" customHeight="1" thickBot="1" x14ac:dyDescent="0.4">
      <c r="A7" s="3" t="s">
        <v>37</v>
      </c>
      <c r="B7" s="12">
        <v>54767</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row>
    <row r="8" spans="1:40" ht="31" customHeight="1" thickBot="1" x14ac:dyDescent="0.4">
      <c r="A8" s="78" t="s">
        <v>38</v>
      </c>
      <c r="B8" s="79">
        <v>16.771999999999998</v>
      </c>
      <c r="C8" s="79"/>
      <c r="D8" s="79"/>
      <c r="E8" s="79"/>
      <c r="F8" s="79"/>
      <c r="G8" s="79"/>
      <c r="H8" s="79"/>
      <c r="I8" s="79"/>
      <c r="J8" s="79"/>
      <c r="K8" s="79"/>
      <c r="L8" s="58"/>
      <c r="M8" s="57"/>
      <c r="N8" s="57"/>
      <c r="O8" s="57"/>
      <c r="P8" s="58"/>
      <c r="Q8" s="57"/>
      <c r="R8" s="57"/>
      <c r="S8" s="57"/>
      <c r="T8" s="57"/>
      <c r="U8" s="57"/>
      <c r="V8" s="57"/>
      <c r="W8" s="60"/>
      <c r="X8" s="60"/>
      <c r="Y8" s="61"/>
      <c r="Z8" s="60"/>
      <c r="AA8" s="60"/>
      <c r="AB8" s="60"/>
      <c r="AC8" s="60"/>
      <c r="AD8" s="39"/>
      <c r="AE8" s="39"/>
      <c r="AF8" s="39"/>
      <c r="AG8" s="39"/>
      <c r="AH8" s="39"/>
      <c r="AI8" s="39"/>
      <c r="AJ8" s="39"/>
      <c r="AK8" s="39"/>
      <c r="AL8" s="39"/>
      <c r="AM8" s="39"/>
      <c r="AN8" s="39"/>
    </row>
    <row r="9" spans="1:40" ht="31" customHeight="1" thickBot="1" x14ac:dyDescent="0.4">
      <c r="A9" s="55" t="s">
        <v>39</v>
      </c>
      <c r="B9" s="56">
        <v>57324</v>
      </c>
      <c r="C9" s="56">
        <v>60977</v>
      </c>
      <c r="D9" s="56"/>
      <c r="E9" s="56"/>
      <c r="F9" s="56"/>
      <c r="G9" s="56"/>
      <c r="H9" s="56"/>
      <c r="I9" s="56"/>
      <c r="J9" s="56"/>
      <c r="K9" s="56"/>
      <c r="L9" s="56"/>
      <c r="M9" s="56"/>
      <c r="N9" s="56"/>
      <c r="O9" s="56"/>
      <c r="P9" s="56"/>
      <c r="Q9" s="56"/>
      <c r="R9" s="56"/>
      <c r="S9" s="56"/>
      <c r="T9" s="56"/>
      <c r="U9" s="56"/>
      <c r="V9" s="56"/>
      <c r="W9" s="56"/>
      <c r="X9" s="56"/>
      <c r="Y9" s="56"/>
      <c r="Z9" s="56"/>
      <c r="AA9" s="56"/>
      <c r="AB9" s="56"/>
      <c r="AC9" s="56"/>
      <c r="AD9" s="13"/>
      <c r="AE9" s="13"/>
      <c r="AF9" s="13"/>
      <c r="AG9" s="13"/>
      <c r="AH9" s="13"/>
      <c r="AI9" s="13"/>
      <c r="AJ9" s="13"/>
      <c r="AK9" s="13"/>
      <c r="AL9" s="13"/>
      <c r="AM9" s="13"/>
      <c r="AN9" s="13"/>
    </row>
    <row r="10" spans="1:40" s="11" customFormat="1" ht="15" thickBot="1" x14ac:dyDescent="0.4">
      <c r="A10" s="1" t="s">
        <v>40</v>
      </c>
      <c r="B10" s="91" t="s">
        <v>41</v>
      </c>
      <c r="C10" s="92"/>
      <c r="D10" s="92"/>
      <c r="E10" s="92"/>
      <c r="F10" s="92"/>
      <c r="G10" s="92"/>
      <c r="H10" s="92"/>
      <c r="I10" s="92"/>
      <c r="J10" s="92"/>
      <c r="K10" s="93"/>
    </row>
    <row r="11" spans="1:40" ht="15" thickBot="1" x14ac:dyDescent="0.4">
      <c r="A11" s="27" t="s">
        <v>6</v>
      </c>
      <c r="B11" s="43">
        <v>16.771999999999998</v>
      </c>
      <c r="C11" s="72">
        <f>Table357911[[#This Row],[Column2]]</f>
        <v>16.771999999999998</v>
      </c>
      <c r="D11" s="41"/>
      <c r="E11" s="41"/>
      <c r="F11" s="14"/>
      <c r="G11" s="14"/>
      <c r="H11" s="14"/>
      <c r="I11" s="14"/>
      <c r="J11" s="14"/>
      <c r="K11" s="15"/>
      <c r="L11" s="18"/>
      <c r="M11" s="18"/>
      <c r="N11" s="18"/>
      <c r="O11" s="18"/>
      <c r="P11" s="18"/>
      <c r="Q11" s="18"/>
      <c r="R11" s="18"/>
      <c r="S11" s="18"/>
      <c r="T11" s="18"/>
      <c r="U11" s="18"/>
      <c r="V11" s="18"/>
      <c r="W11" s="18"/>
      <c r="X11" s="41"/>
      <c r="Y11" s="41"/>
      <c r="Z11" s="41"/>
      <c r="AA11" s="41"/>
      <c r="AB11" s="41"/>
      <c r="AC11" s="41"/>
      <c r="AD11" s="41"/>
      <c r="AE11" s="41"/>
      <c r="AF11" s="41"/>
      <c r="AG11" s="41"/>
      <c r="AH11" s="41"/>
      <c r="AI11" s="41"/>
      <c r="AJ11" s="41"/>
      <c r="AK11" s="41"/>
      <c r="AL11" s="41"/>
      <c r="AM11" s="41"/>
      <c r="AN11" s="41"/>
    </row>
    <row r="12" spans="1:40" ht="15" thickBot="1" x14ac:dyDescent="0.4">
      <c r="A12" s="27" t="s">
        <v>7</v>
      </c>
      <c r="B12" s="34">
        <v>16.771999999999998</v>
      </c>
      <c r="C12" s="72">
        <f>Table357911[[#This Row],[Column2]]</f>
        <v>16.771999999999998</v>
      </c>
      <c r="D12" s="41"/>
      <c r="E12" s="41"/>
      <c r="F12" s="14"/>
      <c r="G12" s="14"/>
      <c r="H12" s="14"/>
      <c r="I12" s="14"/>
      <c r="J12" s="14"/>
      <c r="K12" s="15"/>
      <c r="L12" s="14"/>
      <c r="M12" s="14"/>
      <c r="N12" s="14"/>
      <c r="O12" s="14"/>
      <c r="P12" s="14"/>
      <c r="Q12" s="14"/>
      <c r="R12" s="14"/>
      <c r="S12" s="14"/>
      <c r="T12" s="14"/>
      <c r="U12" s="14"/>
      <c r="V12" s="14"/>
      <c r="W12" s="14"/>
      <c r="X12" s="14"/>
      <c r="Y12" s="40"/>
      <c r="Z12" s="41"/>
      <c r="AA12" s="41"/>
      <c r="AB12" s="41"/>
      <c r="AC12" s="41"/>
      <c r="AD12" s="41"/>
      <c r="AE12" s="41"/>
      <c r="AF12" s="41"/>
      <c r="AG12" s="41"/>
      <c r="AH12" s="41"/>
      <c r="AI12" s="41"/>
      <c r="AJ12" s="41"/>
      <c r="AK12" s="41"/>
      <c r="AL12" s="41"/>
      <c r="AM12" s="41"/>
      <c r="AN12" s="41"/>
    </row>
    <row r="13" spans="1:40" ht="15" thickBot="1" x14ac:dyDescent="0.4">
      <c r="A13" s="27" t="s">
        <v>9</v>
      </c>
      <c r="B13" s="34">
        <v>16.771999999999998</v>
      </c>
      <c r="C13" s="72">
        <f>Table357911[[#This Row],[Column2]]</f>
        <v>16.771999999999998</v>
      </c>
      <c r="D13" s="41"/>
      <c r="E13" s="41"/>
      <c r="F13" s="14"/>
      <c r="G13" s="14"/>
      <c r="H13" s="14"/>
      <c r="I13" s="14"/>
      <c r="J13" s="14"/>
      <c r="K13" s="15"/>
      <c r="L13" s="14"/>
      <c r="M13" s="14"/>
      <c r="N13" s="14"/>
      <c r="O13" s="14"/>
      <c r="P13" s="14"/>
      <c r="Q13" s="14"/>
      <c r="R13" s="14"/>
      <c r="S13" s="14"/>
      <c r="T13" s="14"/>
      <c r="U13" s="14"/>
      <c r="V13" s="14"/>
      <c r="W13" s="14"/>
      <c r="X13" s="14"/>
      <c r="Y13" s="40"/>
      <c r="Z13" s="41"/>
      <c r="AA13" s="41"/>
      <c r="AB13" s="41"/>
      <c r="AC13" s="41"/>
      <c r="AD13" s="41"/>
      <c r="AE13" s="41"/>
      <c r="AF13" s="41"/>
      <c r="AG13" s="41"/>
      <c r="AH13" s="41"/>
      <c r="AI13" s="41"/>
      <c r="AJ13" s="41"/>
      <c r="AK13" s="41"/>
      <c r="AL13" s="41"/>
      <c r="AM13" s="41"/>
      <c r="AN13" s="41"/>
    </row>
    <row r="14" spans="1:40" ht="15" thickBot="1" x14ac:dyDescent="0.4">
      <c r="A14" s="27" t="s">
        <v>10</v>
      </c>
      <c r="B14" s="34">
        <v>16.771999999999998</v>
      </c>
      <c r="C14" s="72">
        <f>Table357911[[#This Row],[Column2]]</f>
        <v>16.771999999999998</v>
      </c>
      <c r="D14" s="41"/>
      <c r="E14" s="41"/>
      <c r="F14" s="14"/>
      <c r="G14" s="14"/>
      <c r="H14" s="14"/>
      <c r="I14" s="14"/>
      <c r="J14" s="14"/>
      <c r="K14" s="15"/>
      <c r="L14" s="14"/>
      <c r="M14" s="14"/>
      <c r="N14" s="14"/>
      <c r="O14" s="14"/>
      <c r="P14" s="14"/>
      <c r="Q14" s="14"/>
      <c r="R14" s="14"/>
      <c r="S14" s="14"/>
      <c r="T14" s="14"/>
      <c r="U14" s="14"/>
      <c r="V14" s="14"/>
      <c r="W14" s="14"/>
      <c r="X14" s="14"/>
      <c r="Y14" s="40"/>
      <c r="Z14" s="41"/>
      <c r="AA14" s="41"/>
      <c r="AB14" s="41"/>
      <c r="AC14" s="41"/>
      <c r="AD14" s="41"/>
      <c r="AE14" s="41"/>
      <c r="AF14" s="41"/>
      <c r="AG14" s="41"/>
      <c r="AH14" s="41"/>
      <c r="AI14" s="41"/>
      <c r="AJ14" s="41"/>
      <c r="AK14" s="41"/>
      <c r="AL14" s="41"/>
      <c r="AM14" s="41"/>
      <c r="AN14" s="41"/>
    </row>
    <row r="15" spans="1:40" ht="15" thickBot="1" x14ac:dyDescent="0.4">
      <c r="A15" s="27" t="s">
        <v>12</v>
      </c>
      <c r="B15" s="36"/>
      <c r="C15" s="36">
        <v>16.771999999999998</v>
      </c>
      <c r="D15" s="42"/>
      <c r="E15" s="42"/>
      <c r="F15" s="16"/>
      <c r="G15" s="16"/>
      <c r="H15" s="16"/>
      <c r="I15" s="16"/>
      <c r="J15" s="16"/>
      <c r="K15" s="17"/>
      <c r="L15" s="16"/>
      <c r="M15" s="16"/>
      <c r="N15" s="16"/>
      <c r="O15" s="16"/>
      <c r="P15" s="16"/>
      <c r="Q15" s="16"/>
      <c r="R15" s="16"/>
      <c r="S15" s="16"/>
      <c r="T15" s="16"/>
      <c r="U15" s="16"/>
      <c r="V15" s="16"/>
      <c r="W15" s="16"/>
      <c r="X15" s="16"/>
      <c r="Y15" s="16"/>
      <c r="Z15" s="16"/>
      <c r="AA15" s="42"/>
      <c r="AB15" s="42"/>
      <c r="AC15" s="42"/>
      <c r="AD15" s="42"/>
      <c r="AE15" s="40"/>
      <c r="AF15" s="40"/>
      <c r="AG15" s="40"/>
      <c r="AH15" s="40"/>
      <c r="AI15" s="40"/>
      <c r="AJ15" s="40"/>
      <c r="AK15" s="40"/>
      <c r="AL15" s="40"/>
      <c r="AM15" s="40"/>
      <c r="AN15" s="40"/>
    </row>
    <row r="16" spans="1:40" ht="15" thickBot="1" x14ac:dyDescent="0.4">
      <c r="A16" s="27" t="s">
        <v>14</v>
      </c>
      <c r="B16" s="34"/>
      <c r="C16" s="36">
        <v>16.771999999999998</v>
      </c>
      <c r="D16" s="14"/>
      <c r="E16" s="42"/>
      <c r="F16" s="14"/>
      <c r="G16" s="14"/>
      <c r="H16" s="14"/>
      <c r="I16" s="14"/>
      <c r="J16" s="14"/>
      <c r="K16" s="15"/>
      <c r="L16" s="14"/>
      <c r="M16" s="14"/>
      <c r="N16" s="14"/>
      <c r="O16" s="14"/>
      <c r="P16" s="14"/>
      <c r="Q16" s="14"/>
      <c r="R16" s="14"/>
      <c r="S16" s="14"/>
      <c r="T16" s="14"/>
      <c r="U16" s="14"/>
      <c r="V16" s="14"/>
      <c r="W16" s="14"/>
      <c r="X16" s="14"/>
      <c r="Y16" s="14"/>
      <c r="Z16" s="14"/>
      <c r="AA16" s="14"/>
      <c r="AB16" s="14"/>
      <c r="AC16" s="14"/>
      <c r="AD16" s="42"/>
      <c r="AE16" s="42"/>
      <c r="AF16" s="42"/>
      <c r="AG16" s="42"/>
      <c r="AH16" s="42"/>
      <c r="AI16" s="42"/>
      <c r="AJ16" s="42"/>
      <c r="AK16" s="42"/>
      <c r="AL16" s="42"/>
      <c r="AM16" s="42"/>
      <c r="AN16" s="42"/>
    </row>
    <row r="17" spans="1:11" x14ac:dyDescent="0.35">
      <c r="A17"/>
    </row>
    <row r="18" spans="1:11" ht="15" thickBot="1" x14ac:dyDescent="0.4"/>
    <row r="19" spans="1:11" x14ac:dyDescent="0.35">
      <c r="A19" s="97" t="s">
        <v>43</v>
      </c>
      <c r="B19" s="98"/>
      <c r="C19" s="98"/>
      <c r="D19" s="98"/>
      <c r="E19" s="98"/>
      <c r="F19" s="98"/>
      <c r="G19" s="98"/>
      <c r="H19" s="98"/>
      <c r="I19" s="98"/>
      <c r="J19" s="98"/>
      <c r="K19" s="99"/>
    </row>
    <row r="20" spans="1:11" x14ac:dyDescent="0.35">
      <c r="A20" s="100" t="s">
        <v>44</v>
      </c>
      <c r="B20" s="101"/>
      <c r="C20" s="101"/>
      <c r="D20" s="101"/>
      <c r="E20" s="101"/>
      <c r="F20" s="101"/>
      <c r="G20" s="101"/>
      <c r="H20" s="101"/>
      <c r="I20" s="101"/>
      <c r="J20" s="101"/>
      <c r="K20" s="102"/>
    </row>
    <row r="21" spans="1:11" x14ac:dyDescent="0.35">
      <c r="A21" s="100" t="s">
        <v>45</v>
      </c>
      <c r="B21" s="101"/>
      <c r="C21" s="101"/>
      <c r="D21" s="101"/>
      <c r="E21" s="101"/>
      <c r="F21" s="101"/>
      <c r="G21" s="101"/>
      <c r="H21" s="101"/>
      <c r="I21" s="101"/>
      <c r="J21" s="101"/>
      <c r="K21" s="102"/>
    </row>
    <row r="22" spans="1:11" ht="15" thickBot="1" x14ac:dyDescent="0.4">
      <c r="A22" s="94" t="s">
        <v>46</v>
      </c>
      <c r="B22" s="95"/>
      <c r="C22" s="95"/>
      <c r="D22" s="95"/>
      <c r="E22" s="95"/>
      <c r="F22" s="95"/>
      <c r="G22" s="95"/>
      <c r="H22" s="95"/>
      <c r="I22" s="95"/>
      <c r="J22" s="95"/>
      <c r="K22" s="96"/>
    </row>
    <row r="24" spans="1:11" hidden="1" x14ac:dyDescent="0.35">
      <c r="B24">
        <f>IF(SUM(B8,B11:B18)=SUM(A8,A11:A18),0,1)</f>
        <v>1</v>
      </c>
      <c r="C24">
        <f t="shared" ref="C24:K24" si="0">IF(SUM(C8,C11:C18)=SUM(B8,B11:B18),0,1)</f>
        <v>1</v>
      </c>
      <c r="D24">
        <f t="shared" si="0"/>
        <v>1</v>
      </c>
      <c r="E24">
        <f t="shared" si="0"/>
        <v>0</v>
      </c>
      <c r="F24">
        <f t="shared" si="0"/>
        <v>0</v>
      </c>
      <c r="G24">
        <f t="shared" si="0"/>
        <v>0</v>
      </c>
      <c r="H24">
        <f t="shared" si="0"/>
        <v>0</v>
      </c>
      <c r="I24">
        <f t="shared" si="0"/>
        <v>0</v>
      </c>
      <c r="J24">
        <f t="shared" si="0"/>
        <v>0</v>
      </c>
      <c r="K24">
        <f t="shared" si="0"/>
        <v>0</v>
      </c>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C7:AN7">
    <cfRule type="containsText" dxfId="1043" priority="3" operator="containsText" text="10/12/xxxx">
      <formula>NOT(ISERROR(SEARCH("10/12/xxxx",C7)))</formula>
    </cfRule>
  </conditionalFormatting>
  <conditionalFormatting sqref="B9:AN9">
    <cfRule type="containsText" dxfId="1042" priority="2" operator="containsText" text="xx/xx/xxxx">
      <formula>NOT(ISERROR(SEARCH("xx/xx/xxxx",B9)))</formula>
    </cfRule>
  </conditionalFormatting>
  <conditionalFormatting sqref="B7">
    <cfRule type="containsText" dxfId="1041" priority="1" operator="containsText" text="10/12/xxxx">
      <formula>NOT(ISERROR(SEARCH("10/12/xxxx",B7)))</formula>
    </cfRule>
  </conditionalFormatting>
  <dataValidations count="5">
    <dataValidation allowBlank="1" showInputMessage="1" showErrorMessage="1" promptTitle="Insert Date" prompt="Please insert the date the area is available for rehabilitation" sqref="B7:AN7" xr:uid="{31A6C962-F865-4467-BA96-5BA6B87AB37A}"/>
    <dataValidation allowBlank="1" showInputMessage="1" showErrorMessage="1" promptTitle="Insert Date" prompt="Please insert the data the milestone is to be completed by" sqref="B9:AN9" xr:uid="{4937C9FB-603A-4FC7-8279-81DA09A5C9E9}"/>
    <dataValidation allowBlank="1" showInputMessage="1" showErrorMessage="1" promptTitle="Insert Area (ha)" prompt="Please insert the cumulative area available in hectares (ha)" sqref="C8:K8" xr:uid="{8C9E462E-D2DB-4273-8CA7-71D69EC93DC0}"/>
    <dataValidation allowBlank="1" showInputMessage="1" showErrorMessage="1" prompt="Please input the correct Rehabilitation Area number (RA#)" sqref="E2:K2" xr:uid="{6EF14660-C3AC-493B-A844-DDC494969FC0}"/>
    <dataValidation allowBlank="1" showInputMessage="1" showErrorMessage="1" promptTitle="Insert Area (ha)" prompt="Please insert the cumulative area achieved in hectares (ha) as required" sqref="F11:K16 B15:B16 D16" xr:uid="{D74F6AFC-21F8-456C-9B7D-85E6A2AADF48}"/>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7A0D5-4F7C-467F-BB4C-3CAC60AFE860}">
  <dimension ref="A1:AE24"/>
  <sheetViews>
    <sheetView zoomScale="70" zoomScaleNormal="70" workbookViewId="0">
      <selection activeCell="AT35" sqref="AT35"/>
    </sheetView>
  </sheetViews>
  <sheetFormatPr defaultColWidth="12.1796875" defaultRowHeight="14.5" x14ac:dyDescent="0.35"/>
  <cols>
    <col min="1" max="1" width="36.6328125" style="2" customWidth="1"/>
    <col min="12" max="31" width="12.1796875" hidden="1" customWidth="1"/>
    <col min="32" max="40" width="0" hidden="1" customWidth="1"/>
  </cols>
  <sheetData>
    <row r="1" spans="1:31" ht="23.25" customHeight="1" thickBot="1" x14ac:dyDescent="0.5">
      <c r="A1" s="83" t="s">
        <v>28</v>
      </c>
      <c r="B1" s="84"/>
      <c r="C1" s="84"/>
      <c r="D1" s="84"/>
      <c r="E1" s="84"/>
      <c r="F1" s="84"/>
      <c r="G1" s="84"/>
      <c r="H1" s="84"/>
      <c r="I1" s="84"/>
      <c r="J1" s="84"/>
      <c r="K1" s="85"/>
    </row>
    <row r="2" spans="1:31" ht="16" customHeight="1" thickBot="1" x14ac:dyDescent="0.4">
      <c r="A2" s="90" t="s">
        <v>29</v>
      </c>
      <c r="B2" s="90"/>
      <c r="C2" s="90"/>
      <c r="D2" s="90"/>
      <c r="E2" s="86" t="s">
        <v>57</v>
      </c>
      <c r="F2" s="86"/>
      <c r="G2" s="86"/>
      <c r="H2" s="86"/>
      <c r="I2" s="86"/>
      <c r="J2" s="86"/>
      <c r="K2" s="86"/>
    </row>
    <row r="3" spans="1:31" ht="16" customHeight="1" thickBot="1" x14ac:dyDescent="0.4">
      <c r="A3" s="90" t="s">
        <v>31</v>
      </c>
      <c r="B3" s="90"/>
      <c r="C3" s="90"/>
      <c r="D3" s="90"/>
      <c r="E3" s="86" t="s">
        <v>58</v>
      </c>
      <c r="F3" s="86"/>
      <c r="G3" s="86"/>
      <c r="H3" s="86"/>
      <c r="I3" s="86"/>
      <c r="J3" s="86"/>
      <c r="K3" s="86"/>
    </row>
    <row r="4" spans="1:31" ht="16" customHeight="1" thickBot="1" x14ac:dyDescent="0.4">
      <c r="A4" s="90" t="s">
        <v>33</v>
      </c>
      <c r="B4" s="90"/>
      <c r="C4" s="90"/>
      <c r="D4" s="90"/>
      <c r="E4" s="103">
        <v>3.173</v>
      </c>
      <c r="F4" s="103"/>
      <c r="G4" s="103"/>
      <c r="H4" s="103"/>
      <c r="I4" s="103"/>
      <c r="J4" s="103"/>
      <c r="K4" s="103"/>
    </row>
    <row r="5" spans="1:31" ht="32.15" customHeight="1" thickBot="1" x14ac:dyDescent="0.4">
      <c r="A5" s="89" t="s">
        <v>56</v>
      </c>
      <c r="B5" s="89"/>
      <c r="C5" s="89"/>
      <c r="D5" s="89"/>
      <c r="E5" s="88">
        <v>55154</v>
      </c>
      <c r="F5" s="86"/>
      <c r="G5" s="86"/>
      <c r="H5" s="86"/>
      <c r="I5" s="86"/>
      <c r="J5" s="86"/>
      <c r="K5" s="86"/>
    </row>
    <row r="6" spans="1:31" ht="16" customHeight="1" thickBot="1" x14ac:dyDescent="0.4">
      <c r="A6" s="90" t="s">
        <v>35</v>
      </c>
      <c r="B6" s="90"/>
      <c r="C6" s="90"/>
      <c r="D6" s="90"/>
      <c r="E6" s="86" t="s">
        <v>53</v>
      </c>
      <c r="F6" s="86"/>
      <c r="G6" s="86"/>
      <c r="H6" s="86"/>
      <c r="I6" s="86"/>
      <c r="J6" s="86"/>
      <c r="K6" s="86"/>
    </row>
    <row r="7" spans="1:31" ht="31" customHeight="1" thickBot="1" x14ac:dyDescent="0.4">
      <c r="A7" s="3" t="s">
        <v>37</v>
      </c>
      <c r="B7" s="12">
        <v>54767</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row>
    <row r="8" spans="1:31" ht="31" customHeight="1" thickBot="1" x14ac:dyDescent="0.4">
      <c r="A8" s="78" t="s">
        <v>38</v>
      </c>
      <c r="B8" s="80">
        <v>3.173</v>
      </c>
      <c r="C8" s="79"/>
      <c r="D8" s="79"/>
      <c r="E8" s="79"/>
      <c r="F8" s="79"/>
      <c r="G8" s="79"/>
      <c r="H8" s="79"/>
      <c r="I8" s="79"/>
      <c r="J8" s="79"/>
      <c r="K8" s="79"/>
      <c r="L8" s="19"/>
      <c r="M8" s="20"/>
      <c r="N8" s="20"/>
      <c r="O8" s="20"/>
      <c r="P8" s="19"/>
      <c r="Q8" s="20"/>
      <c r="R8" s="20"/>
      <c r="S8" s="20"/>
      <c r="T8" s="20"/>
      <c r="U8" s="20"/>
      <c r="V8" s="20"/>
      <c r="W8" s="39"/>
      <c r="X8" s="39"/>
      <c r="Y8" s="38"/>
      <c r="Z8" s="39"/>
      <c r="AA8" s="39"/>
      <c r="AB8" s="39"/>
      <c r="AC8" s="39"/>
      <c r="AD8" s="39"/>
      <c r="AE8" s="39"/>
    </row>
    <row r="9" spans="1:31" ht="31" customHeight="1" thickBot="1" x14ac:dyDescent="0.4">
      <c r="A9" s="55" t="s">
        <v>39</v>
      </c>
      <c r="B9" s="56">
        <v>56228</v>
      </c>
      <c r="C9" s="56">
        <v>57324</v>
      </c>
      <c r="D9" s="56">
        <v>60976</v>
      </c>
      <c r="E9" s="56"/>
      <c r="F9" s="56"/>
      <c r="G9" s="56"/>
      <c r="H9" s="56"/>
      <c r="I9" s="56"/>
      <c r="J9" s="56"/>
      <c r="K9" s="56"/>
      <c r="L9" s="13"/>
      <c r="M9" s="13"/>
      <c r="N9" s="13"/>
      <c r="O9" s="13"/>
      <c r="P9" s="13"/>
      <c r="Q9" s="13"/>
      <c r="R9" s="13"/>
      <c r="S9" s="13"/>
      <c r="T9" s="13"/>
      <c r="U9" s="13"/>
      <c r="V9" s="13"/>
      <c r="W9" s="13"/>
      <c r="X9" s="13"/>
      <c r="Y9" s="13"/>
      <c r="Z9" s="13"/>
      <c r="AA9" s="13"/>
      <c r="AB9" s="13"/>
      <c r="AC9" s="13"/>
      <c r="AD9" s="13"/>
      <c r="AE9" s="13"/>
    </row>
    <row r="10" spans="1:31" s="11" customFormat="1" ht="15" thickBot="1" x14ac:dyDescent="0.4">
      <c r="A10" s="1" t="s">
        <v>40</v>
      </c>
      <c r="B10" s="91" t="s">
        <v>41</v>
      </c>
      <c r="C10" s="92"/>
      <c r="D10" s="92"/>
      <c r="E10" s="92"/>
      <c r="F10" s="92"/>
      <c r="G10" s="92"/>
      <c r="H10" s="92"/>
      <c r="I10" s="92"/>
      <c r="J10" s="92"/>
      <c r="K10" s="93"/>
    </row>
    <row r="11" spans="1:31" ht="15" thickBot="1" x14ac:dyDescent="0.4">
      <c r="A11" s="27" t="s">
        <v>6</v>
      </c>
      <c r="B11" s="44">
        <v>3.173</v>
      </c>
      <c r="C11" s="73">
        <f>Table35791117[[#This Row],[Column2]]</f>
        <v>3.173</v>
      </c>
      <c r="D11" s="73">
        <f>Table35791117[[#This Row],[Column3]]</f>
        <v>3.173</v>
      </c>
      <c r="E11" s="45"/>
      <c r="F11" s="28"/>
      <c r="G11" s="28"/>
      <c r="H11" s="28"/>
      <c r="I11" s="28"/>
      <c r="J11" s="28"/>
      <c r="K11" s="28"/>
      <c r="L11" s="28"/>
      <c r="M11" s="28"/>
      <c r="N11" s="28"/>
      <c r="O11" s="28"/>
      <c r="P11" s="28"/>
      <c r="Q11" s="28"/>
      <c r="R11" s="28"/>
      <c r="S11" s="28"/>
      <c r="T11" s="28"/>
      <c r="U11" s="28"/>
      <c r="V11" s="28"/>
      <c r="W11" s="28"/>
      <c r="X11" s="44"/>
      <c r="Y11" s="45"/>
      <c r="Z11" s="45"/>
      <c r="AA11" s="45"/>
      <c r="AB11" s="45"/>
      <c r="AC11" s="45"/>
      <c r="AD11" s="45"/>
      <c r="AE11" s="45"/>
    </row>
    <row r="12" spans="1:31" ht="15" thickBot="1" x14ac:dyDescent="0.4">
      <c r="A12" s="27" t="s">
        <v>7</v>
      </c>
      <c r="B12" s="46"/>
      <c r="C12" s="47">
        <v>3.173</v>
      </c>
      <c r="D12" s="73">
        <f>Table35791117[[#This Row],[Column3]]</f>
        <v>3.173</v>
      </c>
      <c r="E12" s="45"/>
      <c r="F12" s="29"/>
      <c r="G12" s="29"/>
      <c r="H12" s="29"/>
      <c r="I12" s="29"/>
      <c r="J12" s="29"/>
      <c r="K12" s="28"/>
      <c r="L12" s="30"/>
      <c r="M12" s="29"/>
      <c r="N12" s="29"/>
      <c r="O12" s="29"/>
      <c r="P12" s="29"/>
      <c r="Q12" s="29"/>
      <c r="R12" s="29"/>
      <c r="S12" s="29"/>
      <c r="T12" s="29"/>
      <c r="U12" s="29"/>
      <c r="V12" s="29"/>
      <c r="W12" s="29"/>
      <c r="X12" s="46"/>
      <c r="Y12" s="47"/>
      <c r="Z12" s="45"/>
      <c r="AA12" s="45"/>
      <c r="AB12" s="45"/>
      <c r="AC12" s="45"/>
      <c r="AD12" s="45"/>
      <c r="AE12" s="45"/>
    </row>
    <row r="13" spans="1:31" ht="15" thickBot="1" x14ac:dyDescent="0.4">
      <c r="A13" s="27" t="s">
        <v>9</v>
      </c>
      <c r="B13" s="46"/>
      <c r="C13" s="47">
        <v>3.173</v>
      </c>
      <c r="D13" s="73">
        <f>Table35791117[[#This Row],[Column3]]</f>
        <v>3.173</v>
      </c>
      <c r="E13" s="45"/>
      <c r="F13" s="29"/>
      <c r="G13" s="29"/>
      <c r="H13" s="29"/>
      <c r="I13" s="29"/>
      <c r="J13" s="29"/>
      <c r="K13" s="28"/>
      <c r="L13" s="30"/>
      <c r="M13" s="29"/>
      <c r="N13" s="29"/>
      <c r="O13" s="29"/>
      <c r="P13" s="29"/>
      <c r="Q13" s="29"/>
      <c r="R13" s="29"/>
      <c r="S13" s="29"/>
      <c r="T13" s="29"/>
      <c r="U13" s="29"/>
      <c r="V13" s="29"/>
      <c r="W13" s="29"/>
      <c r="X13" s="46"/>
      <c r="Y13" s="47"/>
      <c r="Z13" s="45"/>
      <c r="AA13" s="45"/>
      <c r="AB13" s="45"/>
      <c r="AC13" s="45"/>
      <c r="AD13" s="45"/>
      <c r="AE13" s="45"/>
    </row>
    <row r="14" spans="1:31" ht="15" thickBot="1" x14ac:dyDescent="0.4">
      <c r="A14" s="27" t="s">
        <v>10</v>
      </c>
      <c r="B14" s="46"/>
      <c r="C14" s="47">
        <v>3.173</v>
      </c>
      <c r="D14" s="73">
        <f>Table35791117[[#This Row],[Column3]]</f>
        <v>3.173</v>
      </c>
      <c r="E14" s="45"/>
      <c r="F14" s="29"/>
      <c r="G14" s="29"/>
      <c r="H14" s="29"/>
      <c r="I14" s="29"/>
      <c r="J14" s="29"/>
      <c r="K14" s="28"/>
      <c r="L14" s="30"/>
      <c r="M14" s="29"/>
      <c r="N14" s="29"/>
      <c r="O14" s="29"/>
      <c r="P14" s="29"/>
      <c r="Q14" s="29"/>
      <c r="R14" s="29"/>
      <c r="S14" s="29"/>
      <c r="T14" s="29"/>
      <c r="U14" s="29"/>
      <c r="V14" s="29"/>
      <c r="W14" s="29"/>
      <c r="X14" s="46"/>
      <c r="Y14" s="47"/>
      <c r="Z14" s="45"/>
      <c r="AA14" s="45"/>
      <c r="AB14" s="45"/>
      <c r="AC14" s="45"/>
      <c r="AD14" s="45"/>
      <c r="AE14" s="45"/>
    </row>
    <row r="15" spans="1:31" ht="15" thickBot="1" x14ac:dyDescent="0.4">
      <c r="A15" s="27" t="s">
        <v>12</v>
      </c>
      <c r="B15" s="29"/>
      <c r="C15" s="29"/>
      <c r="D15" s="47">
        <v>3.173</v>
      </c>
      <c r="E15" s="47"/>
      <c r="F15" s="29"/>
      <c r="G15" s="29"/>
      <c r="H15" s="29"/>
      <c r="I15" s="29"/>
      <c r="J15" s="29"/>
      <c r="K15" s="28"/>
      <c r="L15" s="30"/>
      <c r="M15" s="29"/>
      <c r="N15" s="29"/>
      <c r="O15" s="29"/>
      <c r="P15" s="29"/>
      <c r="Q15" s="29"/>
      <c r="R15" s="29"/>
      <c r="S15" s="29"/>
      <c r="T15" s="29"/>
      <c r="U15" s="29"/>
      <c r="V15" s="29"/>
      <c r="W15" s="29"/>
      <c r="X15" s="46"/>
      <c r="Y15" s="47"/>
      <c r="Z15" s="47"/>
      <c r="AA15" s="47"/>
      <c r="AB15" s="47"/>
      <c r="AC15" s="47"/>
      <c r="AD15" s="47"/>
      <c r="AE15" s="47"/>
    </row>
    <row r="16" spans="1:31" ht="15" thickBot="1" x14ac:dyDescent="0.4">
      <c r="A16" s="27" t="s">
        <v>14</v>
      </c>
      <c r="B16" s="29"/>
      <c r="C16" s="29"/>
      <c r="D16" s="47">
        <v>3.173</v>
      </c>
      <c r="E16" s="47"/>
      <c r="F16" s="29"/>
      <c r="G16" s="29"/>
      <c r="H16" s="29"/>
      <c r="I16" s="29"/>
      <c r="J16" s="29"/>
      <c r="K16" s="28"/>
      <c r="L16" s="30"/>
      <c r="M16" s="29"/>
      <c r="N16" s="29"/>
      <c r="O16" s="29"/>
      <c r="P16" s="29"/>
      <c r="Q16" s="29"/>
      <c r="R16" s="29"/>
      <c r="S16" s="29"/>
      <c r="T16" s="29"/>
      <c r="U16" s="29"/>
      <c r="V16" s="29"/>
      <c r="W16" s="29"/>
      <c r="X16" s="46"/>
      <c r="Y16" s="47"/>
      <c r="Z16" s="47"/>
      <c r="AA16" s="47"/>
      <c r="AB16" s="47"/>
      <c r="AC16" s="47"/>
      <c r="AD16" s="47"/>
      <c r="AE16" s="47"/>
    </row>
    <row r="17" spans="1:11" x14ac:dyDescent="0.35">
      <c r="A17"/>
    </row>
    <row r="18" spans="1:11" ht="15" thickBot="1" x14ac:dyDescent="0.4"/>
    <row r="19" spans="1:11" x14ac:dyDescent="0.35">
      <c r="A19" s="97" t="s">
        <v>43</v>
      </c>
      <c r="B19" s="98"/>
      <c r="C19" s="98"/>
      <c r="D19" s="98"/>
      <c r="E19" s="98"/>
      <c r="F19" s="98"/>
      <c r="G19" s="98"/>
      <c r="H19" s="98"/>
      <c r="I19" s="98"/>
      <c r="J19" s="98"/>
      <c r="K19" s="99"/>
    </row>
    <row r="20" spans="1:11" x14ac:dyDescent="0.35">
      <c r="A20" s="100" t="s">
        <v>44</v>
      </c>
      <c r="B20" s="101"/>
      <c r="C20" s="101"/>
      <c r="D20" s="101"/>
      <c r="E20" s="101"/>
      <c r="F20" s="101"/>
      <c r="G20" s="101"/>
      <c r="H20" s="101"/>
      <c r="I20" s="101"/>
      <c r="J20" s="101"/>
      <c r="K20" s="102"/>
    </row>
    <row r="21" spans="1:11" x14ac:dyDescent="0.35">
      <c r="A21" s="100" t="s">
        <v>45</v>
      </c>
      <c r="B21" s="101"/>
      <c r="C21" s="101"/>
      <c r="D21" s="101"/>
      <c r="E21" s="101"/>
      <c r="F21" s="101"/>
      <c r="G21" s="101"/>
      <c r="H21" s="101"/>
      <c r="I21" s="101"/>
      <c r="J21" s="101"/>
      <c r="K21" s="102"/>
    </row>
    <row r="22" spans="1:11" ht="15" thickBot="1" x14ac:dyDescent="0.4">
      <c r="A22" s="94" t="s">
        <v>46</v>
      </c>
      <c r="B22" s="95"/>
      <c r="C22" s="95"/>
      <c r="D22" s="95"/>
      <c r="E22" s="95"/>
      <c r="F22" s="95"/>
      <c r="G22" s="95"/>
      <c r="H22" s="95"/>
      <c r="I22" s="95"/>
      <c r="J22" s="95"/>
      <c r="K22" s="96"/>
    </row>
    <row r="24" spans="1:11" hidden="1" x14ac:dyDescent="0.35">
      <c r="B24">
        <f>IF(SUM(B8,B11:B18)=SUM(A8,A11:A18),0,1)</f>
        <v>1</v>
      </c>
      <c r="C24">
        <f t="shared" ref="C24:K24" si="0">IF(SUM(C8,C11:C18)=SUM(B8,B11:B18),0,1)</f>
        <v>1</v>
      </c>
      <c r="D24">
        <f t="shared" si="0"/>
        <v>1</v>
      </c>
      <c r="E24">
        <f t="shared" si="0"/>
        <v>1</v>
      </c>
      <c r="F24">
        <f t="shared" si="0"/>
        <v>0</v>
      </c>
      <c r="G24">
        <f t="shared" si="0"/>
        <v>0</v>
      </c>
      <c r="H24">
        <f t="shared" si="0"/>
        <v>0</v>
      </c>
      <c r="I24">
        <f t="shared" si="0"/>
        <v>0</v>
      </c>
      <c r="J24">
        <f t="shared" si="0"/>
        <v>0</v>
      </c>
      <c r="K24">
        <f t="shared" si="0"/>
        <v>0</v>
      </c>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C7:AE7">
    <cfRule type="containsText" dxfId="894" priority="3" operator="containsText" text="10/12/xxxx">
      <formula>NOT(ISERROR(SEARCH("10/12/xxxx",C7)))</formula>
    </cfRule>
  </conditionalFormatting>
  <conditionalFormatting sqref="B9:AE9">
    <cfRule type="containsText" dxfId="893" priority="2" operator="containsText" text="xx/xx/xxxx">
      <formula>NOT(ISERROR(SEARCH("xx/xx/xxxx",B9)))</formula>
    </cfRule>
  </conditionalFormatting>
  <conditionalFormatting sqref="B7">
    <cfRule type="containsText" dxfId="892" priority="1" operator="containsText" text="10/12/xxxx">
      <formula>NOT(ISERROR(SEARCH("10/12/xxxx",B7)))</formula>
    </cfRule>
  </conditionalFormatting>
  <dataValidations count="4">
    <dataValidation allowBlank="1" showInputMessage="1" showErrorMessage="1" prompt="Please input the correct Rehabilitation Area number (RA#)" sqref="E2:K2" xr:uid="{34F8A551-8025-455D-87D4-BA230252EA98}"/>
    <dataValidation allowBlank="1" showInputMessage="1" showErrorMessage="1" promptTitle="Insert Area (ha)" prompt="Please insert the cumulative area available in hectares (ha)" sqref="C8:K8" xr:uid="{54D4FDC9-352C-41F9-8D90-BAA7DF832EC4}"/>
    <dataValidation allowBlank="1" showInputMessage="1" showErrorMessage="1" promptTitle="Insert Date" prompt="Please insert the data the milestone is to be completed by" sqref="B9:AE9" xr:uid="{964196B0-F157-42FB-81CB-D49787F41AEC}"/>
    <dataValidation allowBlank="1" showInputMessage="1" showErrorMessage="1" promptTitle="Insert Date" prompt="Please insert the date the area is available for rehabilitation" sqref="B7:AE7" xr:uid="{CA0C133C-A364-4E5B-A49A-84410223AB49}"/>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30B2E-550B-49AC-A89E-890FB55C37B5}">
  <dimension ref="A1:AG24"/>
  <sheetViews>
    <sheetView zoomScale="70" zoomScaleNormal="70" workbookViewId="0">
      <selection activeCell="J36" sqref="J36"/>
    </sheetView>
  </sheetViews>
  <sheetFormatPr defaultColWidth="12.1796875" defaultRowHeight="14.5" x14ac:dyDescent="0.35"/>
  <cols>
    <col min="1" max="1" width="36.81640625" style="2" bestFit="1" customWidth="1"/>
    <col min="12" max="33" width="12.1796875" hidden="1" customWidth="1"/>
    <col min="34" max="40" width="0" hidden="1" customWidth="1"/>
  </cols>
  <sheetData>
    <row r="1" spans="1:32" ht="23.25" customHeight="1" thickBot="1" x14ac:dyDescent="0.5">
      <c r="A1" s="83" t="s">
        <v>28</v>
      </c>
      <c r="B1" s="84"/>
      <c r="C1" s="84"/>
      <c r="D1" s="84"/>
      <c r="E1" s="84"/>
      <c r="F1" s="84"/>
      <c r="G1" s="84"/>
      <c r="H1" s="84"/>
      <c r="I1" s="84"/>
      <c r="J1" s="84"/>
      <c r="K1" s="85"/>
    </row>
    <row r="2" spans="1:32" ht="16" customHeight="1" thickBot="1" x14ac:dyDescent="0.4">
      <c r="A2" s="90" t="s">
        <v>29</v>
      </c>
      <c r="B2" s="90"/>
      <c r="C2" s="90"/>
      <c r="D2" s="90"/>
      <c r="E2" s="86" t="s">
        <v>59</v>
      </c>
      <c r="F2" s="86"/>
      <c r="G2" s="86"/>
      <c r="H2" s="86"/>
      <c r="I2" s="86"/>
      <c r="J2" s="86"/>
      <c r="K2" s="86"/>
    </row>
    <row r="3" spans="1:32" ht="16" customHeight="1" thickBot="1" x14ac:dyDescent="0.4">
      <c r="A3" s="90" t="s">
        <v>31</v>
      </c>
      <c r="B3" s="90"/>
      <c r="C3" s="90"/>
      <c r="D3" s="90"/>
      <c r="E3" s="86" t="s">
        <v>60</v>
      </c>
      <c r="F3" s="86"/>
      <c r="G3" s="86"/>
      <c r="H3" s="86"/>
      <c r="I3" s="86"/>
      <c r="J3" s="86"/>
      <c r="K3" s="86"/>
    </row>
    <row r="4" spans="1:32" ht="16" customHeight="1" thickBot="1" x14ac:dyDescent="0.4">
      <c r="A4" s="90" t="s">
        <v>33</v>
      </c>
      <c r="B4" s="90"/>
      <c r="C4" s="90"/>
      <c r="D4" s="90"/>
      <c r="E4" s="103">
        <v>8.0579999999999998</v>
      </c>
      <c r="F4" s="103"/>
      <c r="G4" s="103"/>
      <c r="H4" s="103"/>
      <c r="I4" s="103"/>
      <c r="J4" s="103"/>
      <c r="K4" s="103"/>
    </row>
    <row r="5" spans="1:32" ht="32.15" customHeight="1" thickBot="1" x14ac:dyDescent="0.4">
      <c r="A5" s="89" t="s">
        <v>56</v>
      </c>
      <c r="B5" s="89"/>
      <c r="C5" s="89"/>
      <c r="D5" s="89"/>
      <c r="E5" s="88">
        <v>55154</v>
      </c>
      <c r="F5" s="86"/>
      <c r="G5" s="86"/>
      <c r="H5" s="86"/>
      <c r="I5" s="86"/>
      <c r="J5" s="86"/>
      <c r="K5" s="86"/>
    </row>
    <row r="6" spans="1:32" ht="16" customHeight="1" thickBot="1" x14ac:dyDescent="0.4">
      <c r="A6" s="90" t="s">
        <v>35</v>
      </c>
      <c r="B6" s="90"/>
      <c r="C6" s="90"/>
      <c r="D6" s="90"/>
      <c r="E6" s="86" t="s">
        <v>53</v>
      </c>
      <c r="F6" s="86"/>
      <c r="G6" s="86"/>
      <c r="H6" s="86"/>
      <c r="I6" s="86"/>
      <c r="J6" s="86"/>
      <c r="K6" s="86"/>
    </row>
    <row r="7" spans="1:32" ht="31" customHeight="1" thickBot="1" x14ac:dyDescent="0.4">
      <c r="A7" s="3" t="s">
        <v>37</v>
      </c>
      <c r="B7" s="12">
        <v>54767</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row>
    <row r="8" spans="1:32" ht="31" customHeight="1" thickBot="1" x14ac:dyDescent="0.4">
      <c r="A8" s="78" t="s">
        <v>38</v>
      </c>
      <c r="B8" s="80">
        <v>8.0579999999999998</v>
      </c>
      <c r="C8" s="79"/>
      <c r="D8" s="79"/>
      <c r="E8" s="79"/>
      <c r="F8" s="79"/>
      <c r="G8" s="79"/>
      <c r="H8" s="79"/>
      <c r="I8" s="79"/>
      <c r="J8" s="79"/>
      <c r="K8" s="79"/>
      <c r="L8" s="19"/>
      <c r="M8" s="20"/>
      <c r="N8" s="20"/>
      <c r="O8" s="20"/>
      <c r="P8" s="19"/>
      <c r="Q8" s="20"/>
      <c r="R8" s="20"/>
      <c r="S8" s="20"/>
      <c r="T8" s="20"/>
      <c r="U8" s="20"/>
      <c r="V8" s="20"/>
      <c r="W8" s="39"/>
      <c r="X8" s="39"/>
      <c r="Y8" s="39"/>
      <c r="Z8" s="39"/>
      <c r="AA8" s="39"/>
      <c r="AB8" s="39"/>
      <c r="AC8" s="39"/>
      <c r="AD8" s="39"/>
      <c r="AE8" s="39"/>
      <c r="AF8" s="39"/>
    </row>
    <row r="9" spans="1:32" ht="31" customHeight="1" thickBot="1" x14ac:dyDescent="0.4">
      <c r="A9" s="55" t="s">
        <v>39</v>
      </c>
      <c r="B9" s="56">
        <v>56228</v>
      </c>
      <c r="C9" s="56">
        <v>57324</v>
      </c>
      <c r="D9" s="56">
        <v>60976</v>
      </c>
      <c r="E9" s="56"/>
      <c r="F9" s="56"/>
      <c r="G9" s="56"/>
      <c r="H9" s="56"/>
      <c r="I9" s="56"/>
      <c r="J9" s="56"/>
      <c r="K9" s="56"/>
      <c r="L9" s="13"/>
      <c r="M9" s="13"/>
      <c r="N9" s="13"/>
      <c r="O9" s="13"/>
      <c r="P9" s="13"/>
      <c r="Q9" s="13"/>
      <c r="R9" s="13"/>
      <c r="S9" s="13"/>
      <c r="T9" s="13"/>
      <c r="U9" s="13"/>
      <c r="V9" s="13"/>
      <c r="W9" s="13"/>
      <c r="X9" s="13"/>
      <c r="Y9" s="13"/>
      <c r="Z9" s="13"/>
      <c r="AA9" s="13"/>
      <c r="AB9" s="13"/>
      <c r="AC9" s="13"/>
      <c r="AD9" s="13"/>
      <c r="AE9" s="13"/>
      <c r="AF9" s="13"/>
    </row>
    <row r="10" spans="1:32" s="11" customFormat="1" ht="15" thickBot="1" x14ac:dyDescent="0.4">
      <c r="A10" s="1" t="s">
        <v>40</v>
      </c>
      <c r="B10" s="91" t="s">
        <v>41</v>
      </c>
      <c r="C10" s="92"/>
      <c r="D10" s="92"/>
      <c r="E10" s="92"/>
      <c r="F10" s="92"/>
      <c r="G10" s="92"/>
      <c r="H10" s="92"/>
      <c r="I10" s="92"/>
      <c r="J10" s="92"/>
      <c r="K10" s="93"/>
    </row>
    <row r="11" spans="1:32" ht="15" thickBot="1" x14ac:dyDescent="0.4">
      <c r="A11" s="27" t="s">
        <v>6</v>
      </c>
      <c r="B11" s="44">
        <v>8.0579999999999998</v>
      </c>
      <c r="C11" s="74">
        <f>Table3579111719[[#This Row],[Column2]]</f>
        <v>8.0579999999999998</v>
      </c>
      <c r="D11" s="74">
        <f>Table3579111719[[#This Row],[Column3]]</f>
        <v>8.0579999999999998</v>
      </c>
      <c r="E11" s="44"/>
      <c r="F11" s="31"/>
      <c r="G11" s="31"/>
      <c r="H11" s="31"/>
      <c r="I11" s="31"/>
      <c r="J11" s="31"/>
      <c r="K11" s="31"/>
      <c r="L11" s="31"/>
      <c r="M11" s="31"/>
      <c r="N11" s="31"/>
      <c r="O11" s="31"/>
      <c r="P11" s="31"/>
      <c r="Q11" s="31"/>
      <c r="R11" s="31"/>
      <c r="S11" s="31"/>
      <c r="T11" s="31"/>
      <c r="U11" s="31"/>
      <c r="V11" s="31"/>
      <c r="W11" s="31"/>
      <c r="X11" s="31"/>
      <c r="Y11" s="44"/>
      <c r="Z11" s="44"/>
      <c r="AA11" s="44"/>
      <c r="AB11" s="44"/>
      <c r="AC11" s="44"/>
      <c r="AD11" s="44"/>
      <c r="AE11" s="44"/>
      <c r="AF11" s="44"/>
    </row>
    <row r="12" spans="1:32" ht="15" thickBot="1" x14ac:dyDescent="0.4">
      <c r="A12" s="27" t="s">
        <v>7</v>
      </c>
      <c r="B12" s="46"/>
      <c r="C12" s="46">
        <v>8.0579999999999998</v>
      </c>
      <c r="D12" s="75">
        <f>Table3579111719[[#This Row],[Column3]]</f>
        <v>8.0579999999999998</v>
      </c>
      <c r="E12" s="46"/>
      <c r="F12" s="32"/>
      <c r="G12" s="32"/>
      <c r="H12" s="32"/>
      <c r="I12" s="32"/>
      <c r="J12" s="32"/>
      <c r="K12" s="31"/>
      <c r="L12" s="33"/>
      <c r="M12" s="32"/>
      <c r="N12" s="32"/>
      <c r="O12" s="32"/>
      <c r="P12" s="32"/>
      <c r="Q12" s="32"/>
      <c r="R12" s="32"/>
      <c r="S12" s="32"/>
      <c r="T12" s="32"/>
      <c r="U12" s="32"/>
      <c r="V12" s="32"/>
      <c r="W12" s="32"/>
      <c r="X12" s="32"/>
      <c r="Y12" s="46"/>
      <c r="Z12" s="46"/>
      <c r="AA12" s="46"/>
      <c r="AB12" s="46"/>
      <c r="AC12" s="46"/>
      <c r="AD12" s="46"/>
      <c r="AE12" s="46"/>
      <c r="AF12" s="46"/>
    </row>
    <row r="13" spans="1:32" ht="15" thickBot="1" x14ac:dyDescent="0.4">
      <c r="A13" s="27" t="s">
        <v>9</v>
      </c>
      <c r="B13" s="46"/>
      <c r="C13" s="46">
        <v>8.0579999999999998</v>
      </c>
      <c r="D13" s="75">
        <f>Table3579111719[[#This Row],[Column3]]</f>
        <v>8.0579999999999998</v>
      </c>
      <c r="E13" s="46"/>
      <c r="F13" s="32"/>
      <c r="G13" s="32"/>
      <c r="H13" s="32"/>
      <c r="I13" s="32"/>
      <c r="J13" s="32"/>
      <c r="K13" s="31"/>
      <c r="L13" s="33"/>
      <c r="M13" s="32"/>
      <c r="N13" s="32"/>
      <c r="O13" s="32"/>
      <c r="P13" s="32"/>
      <c r="Q13" s="32"/>
      <c r="R13" s="32"/>
      <c r="S13" s="32"/>
      <c r="T13" s="32"/>
      <c r="U13" s="32"/>
      <c r="V13" s="32"/>
      <c r="W13" s="32"/>
      <c r="X13" s="32"/>
      <c r="Y13" s="46"/>
      <c r="Z13" s="46"/>
      <c r="AA13" s="46"/>
      <c r="AB13" s="46"/>
      <c r="AC13" s="46"/>
      <c r="AD13" s="46"/>
      <c r="AE13" s="46"/>
      <c r="AF13" s="46"/>
    </row>
    <row r="14" spans="1:32" ht="15" thickBot="1" x14ac:dyDescent="0.4">
      <c r="A14" s="27" t="s">
        <v>10</v>
      </c>
      <c r="B14" s="46"/>
      <c r="C14" s="46">
        <v>8.0579999999999998</v>
      </c>
      <c r="D14" s="75">
        <f>Table3579111719[[#This Row],[Column3]]</f>
        <v>8.0579999999999998</v>
      </c>
      <c r="E14" s="46"/>
      <c r="F14" s="32"/>
      <c r="G14" s="32"/>
      <c r="H14" s="32"/>
      <c r="I14" s="32"/>
      <c r="J14" s="32"/>
      <c r="K14" s="31"/>
      <c r="L14" s="33"/>
      <c r="M14" s="32"/>
      <c r="N14" s="32"/>
      <c r="O14" s="32"/>
      <c r="P14" s="32"/>
      <c r="Q14" s="32"/>
      <c r="R14" s="32"/>
      <c r="S14" s="32"/>
      <c r="T14" s="32"/>
      <c r="U14" s="32"/>
      <c r="V14" s="32"/>
      <c r="W14" s="32"/>
      <c r="X14" s="32"/>
      <c r="Y14" s="46"/>
      <c r="Z14" s="46"/>
      <c r="AA14" s="46"/>
      <c r="AB14" s="46"/>
      <c r="AC14" s="46"/>
      <c r="AD14" s="46"/>
      <c r="AE14" s="46"/>
      <c r="AF14" s="46"/>
    </row>
    <row r="15" spans="1:32" ht="15" thickBot="1" x14ac:dyDescent="0.4">
      <c r="A15" s="27" t="s">
        <v>12</v>
      </c>
      <c r="B15" s="32"/>
      <c r="C15" s="32"/>
      <c r="D15" s="46">
        <v>8.0579999999999998</v>
      </c>
      <c r="E15" s="46"/>
      <c r="F15" s="32"/>
      <c r="G15" s="32"/>
      <c r="H15" s="32"/>
      <c r="I15" s="32"/>
      <c r="J15" s="32"/>
      <c r="K15" s="31"/>
      <c r="L15" s="33"/>
      <c r="M15" s="32"/>
      <c r="N15" s="32"/>
      <c r="O15" s="32"/>
      <c r="P15" s="32"/>
      <c r="Q15" s="32"/>
      <c r="R15" s="32"/>
      <c r="S15" s="32"/>
      <c r="T15" s="32"/>
      <c r="U15" s="32"/>
      <c r="V15" s="32"/>
      <c r="W15" s="32"/>
      <c r="X15" s="32"/>
      <c r="Y15" s="46"/>
      <c r="Z15" s="46"/>
      <c r="AA15" s="46"/>
      <c r="AB15" s="46"/>
      <c r="AC15" s="46"/>
      <c r="AD15" s="46"/>
      <c r="AE15" s="46"/>
      <c r="AF15" s="46"/>
    </row>
    <row r="16" spans="1:32" ht="15" thickBot="1" x14ac:dyDescent="0.4">
      <c r="A16" s="27" t="s">
        <v>14</v>
      </c>
      <c r="B16" s="32"/>
      <c r="C16" s="32"/>
      <c r="D16" s="46">
        <v>8.0579999999999998</v>
      </c>
      <c r="E16" s="46"/>
      <c r="F16" s="32"/>
      <c r="G16" s="32"/>
      <c r="H16" s="32"/>
      <c r="I16" s="32"/>
      <c r="J16" s="32"/>
      <c r="K16" s="31"/>
      <c r="L16" s="33"/>
      <c r="M16" s="32"/>
      <c r="N16" s="32"/>
      <c r="O16" s="32"/>
      <c r="P16" s="32"/>
      <c r="Q16" s="32"/>
      <c r="R16" s="32"/>
      <c r="S16" s="32"/>
      <c r="T16" s="32"/>
      <c r="U16" s="32"/>
      <c r="V16" s="32"/>
      <c r="W16" s="32"/>
      <c r="X16" s="32"/>
      <c r="Y16" s="46"/>
      <c r="Z16" s="46"/>
      <c r="AA16" s="46"/>
      <c r="AB16" s="46"/>
      <c r="AC16" s="44"/>
      <c r="AD16" s="46"/>
      <c r="AE16" s="46"/>
      <c r="AF16" s="46"/>
    </row>
    <row r="17" spans="1:11" x14ac:dyDescent="0.35">
      <c r="A17"/>
    </row>
    <row r="19" spans="1:11" x14ac:dyDescent="0.35">
      <c r="A19" s="97" t="s">
        <v>43</v>
      </c>
      <c r="B19" s="98"/>
      <c r="C19" s="98"/>
      <c r="D19" s="98"/>
      <c r="E19" s="98"/>
      <c r="F19" s="98"/>
      <c r="G19" s="98"/>
      <c r="H19" s="98"/>
      <c r="I19" s="98"/>
      <c r="J19" s="98"/>
      <c r="K19" s="99"/>
    </row>
    <row r="20" spans="1:11" x14ac:dyDescent="0.35">
      <c r="A20" s="100" t="s">
        <v>44</v>
      </c>
      <c r="B20" s="101"/>
      <c r="C20" s="101"/>
      <c r="D20" s="101"/>
      <c r="E20" s="101"/>
      <c r="F20" s="101"/>
      <c r="G20" s="101"/>
      <c r="H20" s="101"/>
      <c r="I20" s="101"/>
      <c r="J20" s="101"/>
      <c r="K20" s="102"/>
    </row>
    <row r="21" spans="1:11" x14ac:dyDescent="0.35">
      <c r="A21" s="100" t="s">
        <v>45</v>
      </c>
      <c r="B21" s="101"/>
      <c r="C21" s="101"/>
      <c r="D21" s="101"/>
      <c r="E21" s="101"/>
      <c r="F21" s="101"/>
      <c r="G21" s="101"/>
      <c r="H21" s="101"/>
      <c r="I21" s="101"/>
      <c r="J21" s="101"/>
      <c r="K21" s="102"/>
    </row>
    <row r="22" spans="1:11" x14ac:dyDescent="0.35">
      <c r="A22" s="94" t="s">
        <v>46</v>
      </c>
      <c r="B22" s="95"/>
      <c r="C22" s="95"/>
      <c r="D22" s="95"/>
      <c r="E22" s="95"/>
      <c r="F22" s="95"/>
      <c r="G22" s="95"/>
      <c r="H22" s="95"/>
      <c r="I22" s="95"/>
      <c r="J22" s="95"/>
      <c r="K22" s="96"/>
    </row>
    <row r="24" spans="1:11" hidden="1" x14ac:dyDescent="0.35">
      <c r="B24">
        <f>IF(SUM(B8,B11:B18)=SUM(A8,A11:A18),0,1)</f>
        <v>1</v>
      </c>
      <c r="C24">
        <f t="shared" ref="C24:K24" si="0">IF(SUM(C8,C11:C18)=SUM(B8,B11:B18),0,1)</f>
        <v>1</v>
      </c>
      <c r="D24">
        <f t="shared" si="0"/>
        <v>1</v>
      </c>
      <c r="E24">
        <f t="shared" si="0"/>
        <v>1</v>
      </c>
      <c r="F24">
        <f t="shared" si="0"/>
        <v>0</v>
      </c>
      <c r="G24">
        <f t="shared" si="0"/>
        <v>0</v>
      </c>
      <c r="H24">
        <f t="shared" si="0"/>
        <v>0</v>
      </c>
      <c r="I24">
        <f t="shared" si="0"/>
        <v>0</v>
      </c>
      <c r="J24">
        <f t="shared" si="0"/>
        <v>0</v>
      </c>
      <c r="K24">
        <f t="shared" si="0"/>
        <v>0</v>
      </c>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C7:AF7">
    <cfRule type="containsText" dxfId="759" priority="3" operator="containsText" text="10/12/xxxx">
      <formula>NOT(ISERROR(SEARCH("10/12/xxxx",C7)))</formula>
    </cfRule>
  </conditionalFormatting>
  <conditionalFormatting sqref="B9:AF9">
    <cfRule type="containsText" dxfId="758" priority="2" operator="containsText" text="xx/xx/xxxx">
      <formula>NOT(ISERROR(SEARCH("xx/xx/xxxx",B9)))</formula>
    </cfRule>
  </conditionalFormatting>
  <conditionalFormatting sqref="B7">
    <cfRule type="containsText" dxfId="757" priority="1" operator="containsText" text="10/12/xxxx">
      <formula>NOT(ISERROR(SEARCH("10/12/xxxx",B7)))</formula>
    </cfRule>
  </conditionalFormatting>
  <dataValidations count="4">
    <dataValidation allowBlank="1" showInputMessage="1" showErrorMessage="1" promptTitle="Insert Date" prompt="Please insert the date the area is available for rehabilitation" sqref="B7:AF7" xr:uid="{D0B0B340-6134-4099-9465-ABA9A89FB9ED}"/>
    <dataValidation allowBlank="1" showInputMessage="1" showErrorMessage="1" promptTitle="Insert Date" prompt="Please insert the data the milestone is to be completed by" sqref="B9:AF9" xr:uid="{970480BB-211A-4063-9055-B79BF16B5275}"/>
    <dataValidation allowBlank="1" showInputMessage="1" showErrorMessage="1" promptTitle="Insert Area (ha)" prompt="Please insert the cumulative area available in hectares (ha)" sqref="C8:K8" xr:uid="{EEBD4D48-147E-4823-BB71-4899D2F0071A}"/>
    <dataValidation allowBlank="1" showInputMessage="1" showErrorMessage="1" prompt="Please input the correct Rehabilitation Area number (RA#)" sqref="E2:K2" xr:uid="{90826FFE-31FD-476B-A5FB-778C5C7B1968}"/>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9789D-3226-4CBE-8CF1-658338CD0FF7}">
  <dimension ref="A1:AF25"/>
  <sheetViews>
    <sheetView zoomScale="70" zoomScaleNormal="70" workbookViewId="0">
      <selection activeCell="AO38" sqref="AO38"/>
    </sheetView>
  </sheetViews>
  <sheetFormatPr defaultColWidth="12.1796875" defaultRowHeight="14.5" x14ac:dyDescent="0.35"/>
  <cols>
    <col min="1" max="1" width="36.81640625" style="2" bestFit="1" customWidth="1"/>
    <col min="12" max="32" width="12.1796875" hidden="1" customWidth="1"/>
    <col min="33" max="40" width="0" hidden="1" customWidth="1"/>
  </cols>
  <sheetData>
    <row r="1" spans="1:32" ht="23.25" customHeight="1" thickBot="1" x14ac:dyDescent="0.5">
      <c r="A1" s="83" t="s">
        <v>28</v>
      </c>
      <c r="B1" s="84"/>
      <c r="C1" s="84"/>
      <c r="D1" s="84"/>
      <c r="E1" s="84"/>
      <c r="F1" s="84"/>
      <c r="G1" s="84"/>
      <c r="H1" s="84"/>
      <c r="I1" s="84"/>
      <c r="J1" s="84"/>
      <c r="K1" s="85"/>
    </row>
    <row r="2" spans="1:32" ht="16" customHeight="1" thickBot="1" x14ac:dyDescent="0.4">
      <c r="A2" s="90" t="s">
        <v>29</v>
      </c>
      <c r="B2" s="90"/>
      <c r="C2" s="90"/>
      <c r="D2" s="90"/>
      <c r="E2" s="86" t="s">
        <v>61</v>
      </c>
      <c r="F2" s="86"/>
      <c r="G2" s="86"/>
      <c r="H2" s="86"/>
      <c r="I2" s="86"/>
      <c r="J2" s="86"/>
      <c r="K2" s="86"/>
    </row>
    <row r="3" spans="1:32" ht="16" customHeight="1" thickBot="1" x14ac:dyDescent="0.4">
      <c r="A3" s="90" t="s">
        <v>31</v>
      </c>
      <c r="B3" s="90"/>
      <c r="C3" s="90"/>
      <c r="D3" s="90"/>
      <c r="E3" s="86" t="s">
        <v>62</v>
      </c>
      <c r="F3" s="86"/>
      <c r="G3" s="86"/>
      <c r="H3" s="86"/>
      <c r="I3" s="86"/>
      <c r="J3" s="86"/>
      <c r="K3" s="86"/>
    </row>
    <row r="4" spans="1:32" ht="16" customHeight="1" thickBot="1" x14ac:dyDescent="0.4">
      <c r="A4" s="90" t="s">
        <v>33</v>
      </c>
      <c r="B4" s="90"/>
      <c r="C4" s="90"/>
      <c r="D4" s="90"/>
      <c r="E4" s="87">
        <v>313.94499999999999</v>
      </c>
      <c r="F4" s="87"/>
      <c r="G4" s="87"/>
      <c r="H4" s="87"/>
      <c r="I4" s="87"/>
      <c r="J4" s="87"/>
      <c r="K4" s="87"/>
    </row>
    <row r="5" spans="1:32" ht="32.15" customHeight="1" thickBot="1" x14ac:dyDescent="0.4">
      <c r="A5" s="89" t="s">
        <v>56</v>
      </c>
      <c r="B5" s="89"/>
      <c r="C5" s="89"/>
      <c r="D5" s="89"/>
      <c r="E5" s="88">
        <v>54789</v>
      </c>
      <c r="F5" s="86"/>
      <c r="G5" s="86"/>
      <c r="H5" s="86"/>
      <c r="I5" s="86"/>
      <c r="J5" s="86"/>
      <c r="K5" s="86"/>
    </row>
    <row r="6" spans="1:32" ht="16" customHeight="1" thickBot="1" x14ac:dyDescent="0.4">
      <c r="A6" s="90" t="s">
        <v>35</v>
      </c>
      <c r="B6" s="90"/>
      <c r="C6" s="90"/>
      <c r="D6" s="90"/>
      <c r="E6" s="86" t="str">
        <f>'RA7-Mine Infrastructure Area'!E6:K6</f>
        <v>Low Intensity Grazing</v>
      </c>
      <c r="F6" s="86"/>
      <c r="G6" s="86"/>
      <c r="H6" s="86"/>
      <c r="I6" s="86"/>
      <c r="J6" s="86"/>
      <c r="K6" s="86"/>
    </row>
    <row r="7" spans="1:32" ht="31" customHeight="1" thickBot="1" x14ac:dyDescent="0.4">
      <c r="A7" s="3" t="s">
        <v>37</v>
      </c>
      <c r="B7" s="12">
        <v>54036</v>
      </c>
      <c r="C7" s="12">
        <v>54767</v>
      </c>
      <c r="D7" s="12">
        <v>55497</v>
      </c>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row>
    <row r="8" spans="1:32" ht="31" customHeight="1" thickBot="1" x14ac:dyDescent="0.4">
      <c r="A8" s="78" t="s">
        <v>38</v>
      </c>
      <c r="B8" s="79">
        <v>72.989999999999995</v>
      </c>
      <c r="C8" s="79">
        <v>80.081999999999994</v>
      </c>
      <c r="D8" s="79">
        <v>313.94499999999999</v>
      </c>
      <c r="E8" s="79"/>
      <c r="F8" s="79"/>
      <c r="G8" s="79"/>
      <c r="H8" s="79"/>
      <c r="I8" s="79"/>
      <c r="J8" s="79"/>
      <c r="K8" s="79"/>
      <c r="L8" s="19"/>
      <c r="M8" s="20"/>
      <c r="N8" s="20"/>
      <c r="O8" s="20"/>
      <c r="P8" s="19"/>
      <c r="Q8" s="20"/>
      <c r="R8" s="20"/>
      <c r="S8" s="20"/>
      <c r="T8" s="20"/>
      <c r="U8" s="20"/>
      <c r="V8" s="20"/>
      <c r="W8" s="20"/>
      <c r="X8" s="20"/>
      <c r="Y8" s="20"/>
      <c r="Z8" s="20"/>
      <c r="AA8" s="20"/>
      <c r="AB8" s="20"/>
      <c r="AC8" s="20"/>
      <c r="AD8" s="20"/>
      <c r="AE8" s="20"/>
      <c r="AF8" s="20"/>
    </row>
    <row r="9" spans="1:32" ht="31" customHeight="1" thickBot="1" x14ac:dyDescent="0.4">
      <c r="A9" s="55" t="s">
        <v>39</v>
      </c>
      <c r="B9" s="56">
        <v>55497</v>
      </c>
      <c r="C9" s="56">
        <v>56228</v>
      </c>
      <c r="D9" s="56">
        <v>56958</v>
      </c>
      <c r="E9" s="56">
        <v>57324</v>
      </c>
      <c r="F9" s="56">
        <v>57689</v>
      </c>
      <c r="G9" s="56">
        <v>24816</v>
      </c>
      <c r="H9" s="56"/>
      <c r="I9" s="56"/>
      <c r="J9" s="56"/>
      <c r="K9" s="56"/>
      <c r="L9" s="13"/>
      <c r="M9" s="13"/>
      <c r="N9" s="13"/>
      <c r="O9" s="13"/>
      <c r="P9" s="13"/>
      <c r="Q9" s="13"/>
      <c r="R9" s="13"/>
      <c r="S9" s="13"/>
      <c r="T9" s="13"/>
      <c r="U9" s="13"/>
      <c r="V9" s="13"/>
      <c r="W9" s="13"/>
      <c r="X9" s="13"/>
      <c r="Y9" s="13"/>
      <c r="Z9" s="13"/>
      <c r="AA9" s="13"/>
      <c r="AB9" s="13"/>
      <c r="AC9" s="13"/>
      <c r="AD9" s="13"/>
      <c r="AE9" s="13"/>
      <c r="AF9" s="13"/>
    </row>
    <row r="10" spans="1:32" s="11" customFormat="1" ht="15" thickBot="1" x14ac:dyDescent="0.4">
      <c r="A10" s="1" t="s">
        <v>40</v>
      </c>
      <c r="B10" s="91" t="s">
        <v>41</v>
      </c>
      <c r="C10" s="92"/>
      <c r="D10" s="92"/>
      <c r="E10" s="92"/>
      <c r="F10" s="92"/>
      <c r="G10" s="92"/>
      <c r="H10" s="92"/>
      <c r="I10" s="92"/>
      <c r="J10" s="92"/>
      <c r="K10" s="93"/>
    </row>
    <row r="11" spans="1:32" ht="15" thickBot="1" x14ac:dyDescent="0.4">
      <c r="A11" s="27" t="s">
        <v>6</v>
      </c>
      <c r="B11" s="43">
        <v>72.989999999999995</v>
      </c>
      <c r="C11" s="43">
        <v>80.081999999999994</v>
      </c>
      <c r="D11" s="43">
        <v>314</v>
      </c>
      <c r="E11" s="72">
        <f>Table357911171921[[#This Row],[Column4]]</f>
        <v>314</v>
      </c>
      <c r="F11" s="72">
        <f>Table357911171921[[#This Row],[Column5]]</f>
        <v>314</v>
      </c>
      <c r="G11" s="72">
        <f>Table357911171921[[#This Row],[Column6]]</f>
        <v>314</v>
      </c>
      <c r="H11" s="43"/>
      <c r="I11" s="43"/>
      <c r="J11" s="43"/>
      <c r="K11" s="43"/>
      <c r="L11" s="18"/>
      <c r="M11" s="18"/>
      <c r="N11" s="18"/>
      <c r="O11" s="18"/>
      <c r="P11" s="18"/>
      <c r="Q11" s="18"/>
      <c r="R11" s="18"/>
      <c r="S11" s="18"/>
      <c r="T11" s="18"/>
      <c r="U11" s="18"/>
      <c r="V11" s="43"/>
      <c r="W11" s="43"/>
      <c r="X11" s="43"/>
      <c r="Y11" s="43"/>
      <c r="Z11" s="43"/>
      <c r="AA11" s="43"/>
      <c r="AB11" s="43"/>
      <c r="AC11" s="43"/>
      <c r="AD11" s="43"/>
      <c r="AE11" s="43"/>
      <c r="AF11" s="43"/>
    </row>
    <row r="12" spans="1:32" ht="15" thickBot="1" x14ac:dyDescent="0.4">
      <c r="A12" s="27" t="s">
        <v>7</v>
      </c>
      <c r="B12" s="14"/>
      <c r="C12" s="34"/>
      <c r="D12" s="34">
        <v>73</v>
      </c>
      <c r="E12" s="34">
        <v>80</v>
      </c>
      <c r="F12" s="34">
        <v>314</v>
      </c>
      <c r="G12" s="70">
        <f>Table357911171921[[#This Row],[Column6]]</f>
        <v>314</v>
      </c>
      <c r="H12" s="34"/>
      <c r="I12" s="34"/>
      <c r="J12" s="34"/>
      <c r="K12" s="34"/>
      <c r="L12" s="14"/>
      <c r="M12" s="14"/>
      <c r="N12" s="14"/>
      <c r="O12" s="14"/>
      <c r="P12" s="14"/>
      <c r="Q12" s="14"/>
      <c r="R12" s="14"/>
      <c r="S12" s="14"/>
      <c r="T12" s="14"/>
      <c r="U12" s="14"/>
      <c r="V12" s="14"/>
      <c r="W12" s="34"/>
      <c r="X12" s="34"/>
      <c r="Y12" s="34"/>
      <c r="Z12" s="34"/>
      <c r="AA12" s="34"/>
      <c r="AB12" s="34"/>
      <c r="AC12" s="34"/>
      <c r="AD12" s="34"/>
      <c r="AE12" s="34"/>
      <c r="AF12" s="34"/>
    </row>
    <row r="13" spans="1:32" ht="15" thickBot="1" x14ac:dyDescent="0.4">
      <c r="A13" s="27" t="s">
        <v>9</v>
      </c>
      <c r="B13" s="14"/>
      <c r="C13" s="34"/>
      <c r="D13" s="34">
        <v>73</v>
      </c>
      <c r="E13" s="34">
        <v>80</v>
      </c>
      <c r="F13" s="34">
        <v>314</v>
      </c>
      <c r="G13" s="70">
        <f>Table357911171921[[#This Row],[Column6]]</f>
        <v>314</v>
      </c>
      <c r="H13" s="34"/>
      <c r="I13" s="34"/>
      <c r="J13" s="34"/>
      <c r="K13" s="34"/>
      <c r="L13" s="14"/>
      <c r="M13" s="14"/>
      <c r="N13" s="14"/>
      <c r="O13" s="14"/>
      <c r="P13" s="14"/>
      <c r="Q13" s="14"/>
      <c r="R13" s="14"/>
      <c r="S13" s="14"/>
      <c r="T13" s="14"/>
      <c r="U13" s="14"/>
      <c r="V13" s="14"/>
      <c r="W13" s="34"/>
      <c r="X13" s="34"/>
      <c r="Y13" s="34"/>
      <c r="Z13" s="34"/>
      <c r="AA13" s="34"/>
      <c r="AB13" s="34"/>
      <c r="AC13" s="34"/>
      <c r="AD13" s="34"/>
      <c r="AE13" s="34"/>
      <c r="AF13" s="34"/>
    </row>
    <row r="14" spans="1:32" ht="15" thickBot="1" x14ac:dyDescent="0.4">
      <c r="A14" s="27" t="s">
        <v>10</v>
      </c>
      <c r="B14" s="14"/>
      <c r="C14" s="34"/>
      <c r="D14" s="34">
        <v>73</v>
      </c>
      <c r="E14" s="34">
        <v>80</v>
      </c>
      <c r="F14" s="34">
        <v>314</v>
      </c>
      <c r="G14" s="70">
        <f>Table357911171921[[#This Row],[Column6]]</f>
        <v>314</v>
      </c>
      <c r="H14" s="34"/>
      <c r="I14" s="34"/>
      <c r="J14" s="34"/>
      <c r="K14" s="34"/>
      <c r="L14" s="14"/>
      <c r="M14" s="14"/>
      <c r="N14" s="14"/>
      <c r="O14" s="14"/>
      <c r="P14" s="14"/>
      <c r="Q14" s="14"/>
      <c r="R14" s="14"/>
      <c r="S14" s="14"/>
      <c r="T14" s="14"/>
      <c r="U14" s="14"/>
      <c r="V14" s="14"/>
      <c r="W14" s="34"/>
      <c r="X14" s="34"/>
      <c r="Y14" s="34"/>
      <c r="Z14" s="34"/>
      <c r="AA14" s="34"/>
      <c r="AB14" s="34"/>
      <c r="AC14" s="34"/>
      <c r="AD14" s="34"/>
      <c r="AE14" s="34"/>
      <c r="AF14" s="34"/>
    </row>
    <row r="15" spans="1:32" ht="15" thickBot="1" x14ac:dyDescent="0.4">
      <c r="A15" s="27" t="s">
        <v>12</v>
      </c>
      <c r="B15" s="16"/>
      <c r="C15" s="16"/>
      <c r="D15" s="36"/>
      <c r="E15" s="36"/>
      <c r="F15" s="36"/>
      <c r="G15" s="36">
        <v>314</v>
      </c>
      <c r="H15" s="36"/>
      <c r="I15" s="36"/>
      <c r="J15" s="36"/>
      <c r="K15" s="36"/>
      <c r="L15" s="16"/>
      <c r="M15" s="16"/>
      <c r="N15" s="16"/>
      <c r="O15" s="16"/>
      <c r="P15" s="16"/>
      <c r="Q15" s="16"/>
      <c r="R15" s="16"/>
      <c r="S15" s="16"/>
      <c r="T15" s="16"/>
      <c r="U15" s="16"/>
      <c r="V15" s="16"/>
      <c r="W15" s="16"/>
      <c r="X15" s="16"/>
      <c r="Y15" s="36"/>
      <c r="Z15" s="36"/>
      <c r="AA15" s="36"/>
      <c r="AB15" s="36"/>
      <c r="AC15" s="36"/>
      <c r="AD15" s="36"/>
      <c r="AE15" s="36"/>
      <c r="AF15" s="36"/>
    </row>
    <row r="16" spans="1:32" ht="15" thickBot="1" x14ac:dyDescent="0.4">
      <c r="A16" s="27" t="s">
        <v>14</v>
      </c>
      <c r="B16" s="14"/>
      <c r="C16" s="14"/>
      <c r="D16" s="14"/>
      <c r="E16" s="14"/>
      <c r="F16" s="14"/>
      <c r="G16" s="34">
        <v>314</v>
      </c>
      <c r="H16" s="34"/>
      <c r="I16" s="34"/>
      <c r="J16" s="34"/>
      <c r="K16" s="34"/>
      <c r="L16" s="14"/>
      <c r="M16" s="14"/>
      <c r="N16" s="14"/>
      <c r="O16" s="14"/>
      <c r="P16" s="14"/>
      <c r="Q16" s="14"/>
      <c r="R16" s="14"/>
      <c r="S16" s="14"/>
      <c r="T16" s="14"/>
      <c r="U16" s="14"/>
      <c r="V16" s="14"/>
      <c r="W16" s="14"/>
      <c r="X16" s="14"/>
      <c r="Y16" s="14"/>
      <c r="Z16" s="14"/>
      <c r="AA16" s="14"/>
      <c r="AB16" s="34"/>
      <c r="AC16" s="34"/>
      <c r="AD16" s="34"/>
      <c r="AE16" s="34"/>
      <c r="AF16" s="34"/>
    </row>
    <row r="17" spans="1:32" x14ac:dyDescent="0.35">
      <c r="A17" s="65"/>
      <c r="B17" s="66"/>
      <c r="C17" s="66"/>
      <c r="D17" s="66"/>
      <c r="E17" s="66"/>
      <c r="F17" s="66"/>
      <c r="G17" s="67"/>
      <c r="H17" s="67"/>
      <c r="I17" s="67"/>
      <c r="J17" s="67"/>
      <c r="K17" s="67"/>
      <c r="L17" s="63"/>
      <c r="M17" s="63"/>
      <c r="N17" s="63"/>
      <c r="O17" s="63"/>
      <c r="P17" s="63"/>
      <c r="Q17" s="63"/>
      <c r="R17" s="63"/>
      <c r="S17" s="63"/>
      <c r="T17" s="63"/>
      <c r="U17" s="63"/>
      <c r="V17" s="63"/>
      <c r="W17" s="63"/>
      <c r="X17" s="63"/>
      <c r="Y17" s="63"/>
      <c r="Z17" s="63"/>
      <c r="AA17" s="63"/>
      <c r="AB17" s="64"/>
      <c r="AC17" s="64"/>
      <c r="AD17" s="64"/>
      <c r="AE17" s="64"/>
      <c r="AF17" s="64"/>
    </row>
    <row r="18" spans="1:32" ht="15" thickBot="1" x14ac:dyDescent="0.4"/>
    <row r="19" spans="1:32" x14ac:dyDescent="0.35">
      <c r="A19" s="97" t="s">
        <v>43</v>
      </c>
      <c r="B19" s="98"/>
      <c r="C19" s="98"/>
      <c r="D19" s="98"/>
      <c r="E19" s="98"/>
      <c r="F19" s="98"/>
      <c r="G19" s="98"/>
      <c r="H19" s="98"/>
      <c r="I19" s="98"/>
      <c r="J19" s="98"/>
      <c r="K19" s="99"/>
    </row>
    <row r="20" spans="1:32" x14ac:dyDescent="0.35">
      <c r="A20" s="100" t="s">
        <v>44</v>
      </c>
      <c r="B20" s="101"/>
      <c r="C20" s="101"/>
      <c r="D20" s="101"/>
      <c r="E20" s="101"/>
      <c r="F20" s="101"/>
      <c r="G20" s="101"/>
      <c r="H20" s="101"/>
      <c r="I20" s="101"/>
      <c r="J20" s="101"/>
      <c r="K20" s="102"/>
    </row>
    <row r="21" spans="1:32" x14ac:dyDescent="0.35">
      <c r="A21" s="100" t="s">
        <v>45</v>
      </c>
      <c r="B21" s="101"/>
      <c r="C21" s="101"/>
      <c r="D21" s="101"/>
      <c r="E21" s="101"/>
      <c r="F21" s="101"/>
      <c r="G21" s="101"/>
      <c r="H21" s="101"/>
      <c r="I21" s="101"/>
      <c r="J21" s="101"/>
      <c r="K21" s="102"/>
    </row>
    <row r="22" spans="1:32" ht="15" thickBot="1" x14ac:dyDescent="0.4">
      <c r="A22" s="94" t="s">
        <v>46</v>
      </c>
      <c r="B22" s="95"/>
      <c r="C22" s="95"/>
      <c r="D22" s="95"/>
      <c r="E22" s="95"/>
      <c r="F22" s="95"/>
      <c r="G22" s="95"/>
      <c r="H22" s="95"/>
      <c r="I22" s="95"/>
      <c r="J22" s="95"/>
      <c r="K22" s="96"/>
    </row>
    <row r="25" spans="1:32" hidden="1" x14ac:dyDescent="0.35">
      <c r="B25">
        <f>IF(SUM(B8,B11:B19)=SUM(A8,A11:A19),0,1)</f>
        <v>1</v>
      </c>
      <c r="C25">
        <f t="shared" ref="C25:K25" si="0">IF(SUM(C8,C11:C19)=SUM(B8,B11:B19),0,1)</f>
        <v>1</v>
      </c>
      <c r="D25">
        <f t="shared" si="0"/>
        <v>1</v>
      </c>
      <c r="E25">
        <f t="shared" si="0"/>
        <v>1</v>
      </c>
      <c r="F25">
        <f t="shared" si="0"/>
        <v>1</v>
      </c>
      <c r="G25">
        <f t="shared" si="0"/>
        <v>1</v>
      </c>
      <c r="H25">
        <f t="shared" si="0"/>
        <v>1</v>
      </c>
      <c r="I25">
        <f t="shared" si="0"/>
        <v>0</v>
      </c>
      <c r="J25">
        <f t="shared" si="0"/>
        <v>0</v>
      </c>
      <c r="K25">
        <f t="shared" si="0"/>
        <v>0</v>
      </c>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E7:AF7">
    <cfRule type="containsText" dxfId="625" priority="9" operator="containsText" text="10/12/xxxx">
      <formula>NOT(ISERROR(SEARCH("10/12/xxxx",E7)))</formula>
    </cfRule>
  </conditionalFormatting>
  <conditionalFormatting sqref="B9:AF9">
    <cfRule type="containsText" dxfId="624" priority="8" operator="containsText" text="xx/xx/xxxx">
      <formula>NOT(ISERROR(SEARCH("xx/xx/xxxx",B9)))</formula>
    </cfRule>
  </conditionalFormatting>
  <conditionalFormatting sqref="B7">
    <cfRule type="containsText" dxfId="623" priority="7" operator="containsText" text="10/12/xxxx">
      <formula>NOT(ISERROR(SEARCH("10/12/xxxx",B7)))</formula>
    </cfRule>
  </conditionalFormatting>
  <conditionalFormatting sqref="C7">
    <cfRule type="containsText" dxfId="622" priority="6" operator="containsText" text="10/12/xxxx">
      <formula>NOT(ISERROR(SEARCH("10/12/xxxx",C7)))</formula>
    </cfRule>
  </conditionalFormatting>
  <conditionalFormatting sqref="D7">
    <cfRule type="containsText" dxfId="621" priority="5" operator="containsText" text="10/12/xxxx">
      <formula>NOT(ISERROR(SEARCH("10/12/xxxx",D7)))</formula>
    </cfRule>
  </conditionalFormatting>
  <conditionalFormatting sqref="E9">
    <cfRule type="containsText" dxfId="620" priority="4" operator="containsText" text="xx/xx/xxxx">
      <formula>NOT(ISERROR(SEARCH("xx/xx/xxxx",E9)))</formula>
    </cfRule>
  </conditionalFormatting>
  <conditionalFormatting sqref="E7">
    <cfRule type="containsText" dxfId="619" priority="3" operator="containsText" text="10/12/xxxx">
      <formula>NOT(ISERROR(SEARCH("10/12/xxxx",E7)))</formula>
    </cfRule>
  </conditionalFormatting>
  <conditionalFormatting sqref="D9">
    <cfRule type="containsText" dxfId="618" priority="2" operator="containsText" text="xx/xx/xxxx">
      <formula>NOT(ISERROR(SEARCH("xx/xx/xxxx",D9)))</formula>
    </cfRule>
  </conditionalFormatting>
  <conditionalFormatting sqref="D7">
    <cfRule type="containsText" dxfId="617" priority="1" operator="containsText" text="10/12/xxxx">
      <formula>NOT(ISERROR(SEARCH("10/12/xxxx",D7)))</formula>
    </cfRule>
  </conditionalFormatting>
  <dataValidations count="4">
    <dataValidation allowBlank="1" showInputMessage="1" showErrorMessage="1" prompt="Please input the correct Rehabilitation Area number (RA#)" sqref="E2:K2" xr:uid="{CCEC20E2-58C7-4BAD-BFD9-BFF58A2BC474}"/>
    <dataValidation allowBlank="1" showInputMessage="1" showErrorMessage="1" promptTitle="Insert Area (ha)" prompt="Please insert the cumulative area available in hectares (ha)" sqref="E8:K8" xr:uid="{7D047898-D9E0-4165-A1FA-640C6ED60F7D}"/>
    <dataValidation allowBlank="1" showInputMessage="1" showErrorMessage="1" promptTitle="Insert Date" prompt="Please insert the data the milestone is to be completed by" sqref="B9:AF9" xr:uid="{BC067395-D941-4C28-9835-1391F847B9B6}"/>
    <dataValidation allowBlank="1" showInputMessage="1" showErrorMessage="1" promptTitle="Insert Date" prompt="Please insert the date the area is available for rehabilitation" sqref="B7:AF7" xr:uid="{E8067D1A-B50C-434E-9B36-1A1C8478A361}"/>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97709AE4B0794CB44FFE71756C0B4A" ma:contentTypeVersion="12" ma:contentTypeDescription="Create a new document." ma:contentTypeScope="" ma:versionID="69693c71b90f7b418e05bb0073e91a5e">
  <xsd:schema xmlns:xsd="http://www.w3.org/2001/XMLSchema" xmlns:xs="http://www.w3.org/2001/XMLSchema" xmlns:p="http://schemas.microsoft.com/office/2006/metadata/properties" xmlns:ns2="aea6574a-5966-487b-88b0-342fa12eef41" xmlns:ns3="a6789a7d-d1a5-497b-a2bd-febc0f72c04e" targetNamespace="http://schemas.microsoft.com/office/2006/metadata/properties" ma:root="true" ma:fieldsID="5f722ee20b3dd0c14b58f81e6acb9920" ns2:_="" ns3:_="">
    <xsd:import namespace="aea6574a-5966-487b-88b0-342fa12eef41"/>
    <xsd:import namespace="a6789a7d-d1a5-497b-a2bd-febc0f72c04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a6574a-5966-487b-88b0-342fa12eef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789a7d-d1a5-497b-a2bd-febc0f72c04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1A78E5-78C1-43F4-AA77-0C094C81D382}">
  <ds:schemaRefs>
    <ds:schemaRef ds:uri="http://purl.org/dc/dcmitype/"/>
    <ds:schemaRef ds:uri="http://schemas.microsoft.com/office/2006/documentManagement/types"/>
    <ds:schemaRef ds:uri="e3209a6d-07c0-4dd4-a149-ba562b5deade"/>
    <ds:schemaRef ds:uri="http://purl.org/dc/elements/1.1/"/>
    <ds:schemaRef ds:uri="7e65f767-4ed1-46e3-a566-2fa68604fa58"/>
    <ds:schemaRef ds:uri="http://schemas.microsoft.com/sharepoint/v3"/>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511FF7ED-67CB-42AB-B8B8-1155BE78AE5E}"/>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Instructions</vt:lpstr>
      <vt:lpstr>RA1- Elevated Dumps Upper</vt:lpstr>
      <vt:lpstr>RA2-Elevated Dumps Slopes</vt:lpstr>
      <vt:lpstr>RA3-Backfilled Pits</vt:lpstr>
      <vt:lpstr>RA4-Tracks_Roads</vt:lpstr>
      <vt:lpstr>RA5-ROM</vt:lpstr>
      <vt:lpstr>RA6-CHPP</vt:lpstr>
      <vt:lpstr>RA7-Mine Infrastructure Area</vt:lpstr>
      <vt:lpstr>RA8-Water Management Structures</vt:lpstr>
      <vt:lpstr>RA9-Codisposal Upper</vt:lpstr>
      <vt:lpstr>RA10-Codisposal Slopes</vt:lpstr>
      <vt:lpstr>IA1-Final Void inc Ramps</vt:lpstr>
      <vt:lpstr>Rehabilitation Area Milestones</vt:lpstr>
      <vt:lpstr>Improvement Area Milestones</vt:lpstr>
      <vt:lpstr>Summary</vt:lpstr>
      <vt:lpstr>'Improvement Area Milestones'!Print_Area</vt:lpstr>
      <vt:lpstr>'Rehabilitation Area Milestones'!Print_Area</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Gomez-Gane, Kylie</cp:lastModifiedBy>
  <cp:revision/>
  <dcterms:created xsi:type="dcterms:W3CDTF">2019-10-27T23:30:31Z</dcterms:created>
  <dcterms:modified xsi:type="dcterms:W3CDTF">2021-09-03T03:54:47Z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0x0101007997709AE4B0794CB44FFE71756C0B4A</vt:lpwstr>
  </property>
</Properties>
</file>