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au.slr.local\Corporate\Projects-SLR\626-MKY\626.30100.00000 Wandoan Mine Site EA Amend and PRCP\04 Reports\06 - PRCP\06 - Appendices\Submission\"/>
    </mc:Choice>
  </mc:AlternateContent>
  <xr:revisionPtr revIDLastSave="0" documentId="13_ncr:1_{2E82227F-57AC-45A3-8814-91075F0500A6}" xr6:coauthVersionLast="47" xr6:coauthVersionMax="47" xr10:uidLastSave="{00000000-0000-0000-0000-000000000000}"/>
  <bookViews>
    <workbookView xWindow="28680" yWindow="-120" windowWidth="29040" windowHeight="15840" xr2:uid="{00000000-000D-0000-FFFF-FFFF00000000}"/>
  </bookViews>
  <sheets>
    <sheet name="Instructions" sheetId="1" r:id="rId1"/>
    <sheet name="RA1" sheetId="19" r:id="rId2"/>
    <sheet name="RA2" sheetId="18" r:id="rId3"/>
    <sheet name="RA3" sheetId="13" r:id="rId4"/>
    <sheet name="RA4" sheetId="20" r:id="rId5"/>
    <sheet name="RA5" sheetId="12" r:id="rId6"/>
    <sheet name="RA6" sheetId="15" r:id="rId7"/>
    <sheet name="RA7" sheetId="17" r:id="rId8"/>
    <sheet name="Rehabilitation Area Milestones" sheetId="9" r:id="rId9"/>
    <sheet name="Attachment 1" sheetId="21" r:id="rId10"/>
    <sheet name="Attachment 2" sheetId="22" r:id="rId11"/>
    <sheet name="Attachment 3" sheetId="23" r:id="rId12"/>
    <sheet name="Attachment 4" sheetId="24" r:id="rId13"/>
    <sheet name="Attachment 5" sheetId="25" r:id="rId14"/>
    <sheet name="Attachment 6" sheetId="26"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 i="17" l="1"/>
  <c r="P8" i="17"/>
  <c r="O8" i="17"/>
  <c r="N8" i="17"/>
  <c r="M8" i="17"/>
  <c r="L8" i="17"/>
  <c r="K8" i="17"/>
  <c r="J8" i="17"/>
  <c r="I8" i="17"/>
  <c r="H8" i="17"/>
  <c r="G8" i="17"/>
  <c r="F8" i="17"/>
  <c r="E8" i="17"/>
  <c r="D8" i="17"/>
  <c r="C8" i="17"/>
  <c r="F8" i="13"/>
  <c r="G8" i="13" s="1"/>
  <c r="H8" i="13" s="1"/>
  <c r="I8" i="13" s="1"/>
  <c r="E8" i="13"/>
  <c r="D8" i="13"/>
  <c r="C8" i="13"/>
  <c r="D8" i="18"/>
  <c r="E8" i="18" s="1"/>
  <c r="V8" i="18" s="1"/>
  <c r="C8" i="18"/>
  <c r="C8" i="19"/>
  <c r="K8" i="18" l="1"/>
  <c r="L8" i="18"/>
  <c r="M8" i="18"/>
  <c r="S8" i="18"/>
  <c r="O8" i="18"/>
  <c r="Q8" i="18"/>
  <c r="F8" i="18"/>
  <c r="H8" i="18"/>
  <c r="I8" i="18"/>
  <c r="U8" i="18"/>
  <c r="N8" i="18"/>
  <c r="P8" i="18"/>
  <c r="R8" i="18"/>
  <c r="G8" i="18"/>
  <c r="T8" i="18"/>
  <c r="J8" i="18"/>
  <c r="D8" i="19"/>
  <c r="W8" i="18"/>
  <c r="R8" i="17"/>
  <c r="X8" i="17" l="1"/>
  <c r="Y8" i="17" s="1"/>
  <c r="Z8" i="17" s="1"/>
  <c r="W8" i="17"/>
  <c r="V8" i="17"/>
  <c r="U8" i="17"/>
  <c r="T8" i="17"/>
  <c r="S8" i="17"/>
  <c r="F8" i="19"/>
  <c r="E8" i="19"/>
  <c r="X8" i="18"/>
  <c r="Y8" i="18" s="1"/>
  <c r="AC8" i="17" l="1"/>
  <c r="AI8" i="17"/>
  <c r="AH8" i="17"/>
  <c r="AG8" i="17"/>
  <c r="AF8" i="17"/>
  <c r="AE8" i="17"/>
  <c r="AD8" i="17"/>
  <c r="AB8" i="17"/>
  <c r="AA8" i="17"/>
  <c r="H8" i="19"/>
  <c r="I8" i="19" s="1"/>
  <c r="G8" i="19"/>
  <c r="Z8" i="18"/>
  <c r="AJ8" i="17"/>
  <c r="AP8" i="17" l="1"/>
  <c r="AM8" i="17"/>
  <c r="AL8" i="17"/>
  <c r="AS8" i="17"/>
  <c r="AR8" i="17"/>
  <c r="AQ8" i="17"/>
  <c r="AO8" i="17"/>
  <c r="AN8" i="17"/>
  <c r="AK8" i="17"/>
  <c r="AI8" i="18"/>
  <c r="AH8" i="18"/>
  <c r="AG8" i="18"/>
  <c r="AF8" i="18"/>
  <c r="AE8" i="18"/>
  <c r="AD8" i="18"/>
  <c r="AC8" i="18"/>
  <c r="AB8" i="18"/>
  <c r="AA8" i="18"/>
  <c r="K8" i="19"/>
  <c r="L8" i="19" s="1"/>
  <c r="J8" i="19"/>
  <c r="AL8" i="18"/>
  <c r="AM8" i="18" s="1"/>
  <c r="AJ8" i="18"/>
  <c r="AK8" i="18" s="1"/>
  <c r="AT8" i="17"/>
  <c r="AW8" i="17" l="1"/>
  <c r="AX8" i="17" s="1"/>
  <c r="AY8" i="17" s="1"/>
  <c r="AZ8" i="17" s="1"/>
  <c r="AV8" i="17"/>
  <c r="AU8" i="17"/>
  <c r="M8" i="19"/>
  <c r="AN8" i="18"/>
  <c r="AQ8" i="18" l="1"/>
  <c r="AP8" i="18"/>
  <c r="AO8" i="18"/>
  <c r="Q8" i="19"/>
  <c r="P8" i="19"/>
  <c r="R8" i="19"/>
  <c r="S8" i="19" s="1"/>
  <c r="T8" i="19" s="1"/>
  <c r="U8" i="19" s="1"/>
  <c r="V8" i="19" s="1"/>
  <c r="W8" i="19" s="1"/>
  <c r="X8" i="19" s="1"/>
  <c r="Y8" i="19" s="1"/>
  <c r="O8" i="19"/>
  <c r="N8" i="19"/>
  <c r="AR8" i="18"/>
  <c r="AS8" i="18" l="1"/>
  <c r="AT8" i="18"/>
  <c r="AU8" i="18" s="1"/>
  <c r="Z8" i="19"/>
  <c r="AA8" i="19" s="1"/>
  <c r="AB8" i="19" s="1"/>
  <c r="AC8" i="19" s="1"/>
  <c r="AV8" i="18"/>
  <c r="AW8" i="18" s="1"/>
  <c r="AD8" i="19" l="1"/>
  <c r="AE8" i="19" s="1"/>
  <c r="AF8" i="19" s="1"/>
  <c r="AX8" i="18"/>
  <c r="BD8" i="18" l="1"/>
  <c r="BE8" i="18"/>
  <c r="BC8" i="18"/>
  <c r="BB8" i="18"/>
  <c r="BA8" i="18"/>
  <c r="AZ8" i="18"/>
  <c r="AY8" i="18"/>
  <c r="AH8" i="19"/>
  <c r="AI8" i="19" s="1"/>
  <c r="AG8" i="19"/>
  <c r="BF8" i="18"/>
  <c r="BL8" i="18" l="1"/>
  <c r="BJ8" i="18"/>
  <c r="BI8" i="18"/>
  <c r="BH8" i="18"/>
  <c r="BG8" i="18"/>
  <c r="BK8" i="18"/>
  <c r="AJ8" i="19"/>
  <c r="AK8" i="19" s="1"/>
  <c r="AL8" i="19" s="1"/>
  <c r="AM8" i="19" s="1"/>
  <c r="AN8" i="19" s="1"/>
  <c r="AO8" i="19" s="1"/>
  <c r="AP8" i="19" s="1"/>
  <c r="AQ8" i="19" s="1"/>
  <c r="BM8" i="18"/>
  <c r="BO8" i="18" l="1"/>
  <c r="BP8" i="18" s="1"/>
  <c r="BN8" i="18"/>
  <c r="AR8" i="19"/>
  <c r="AS8" i="19" s="1"/>
  <c r="AT8" i="19" s="1"/>
  <c r="AU8" i="19" s="1"/>
  <c r="AV8" i="19" s="1"/>
  <c r="AW8" i="19" s="1"/>
  <c r="AX8" i="19" s="1"/>
  <c r="AY8" i="19" s="1"/>
  <c r="AZ8" i="19" s="1"/>
  <c r="BA8" i="19" s="1"/>
  <c r="BQ8" i="18"/>
  <c r="BS8" i="18" l="1"/>
  <c r="BT8" i="18" s="1"/>
  <c r="BU8" i="18" s="1"/>
  <c r="BV8" i="18" s="1"/>
  <c r="BW8" i="18" s="1"/>
  <c r="BR8" i="18"/>
  <c r="BB8" i="19"/>
  <c r="BC8" i="19" s="1"/>
  <c r="BD8" i="19" s="1"/>
  <c r="BE8" i="19" s="1"/>
  <c r="BF8" i="19" s="1"/>
  <c r="BG8" i="19" s="1"/>
  <c r="BH8" i="19" l="1"/>
  <c r="BI8" i="19" l="1"/>
  <c r="BJ8" i="19"/>
  <c r="BK8" i="19" s="1"/>
  <c r="BL8" i="19" s="1"/>
  <c r="BM8" i="19" s="1"/>
  <c r="BN8" i="19" s="1"/>
  <c r="BO8" i="19" l="1"/>
  <c r="BP8" i="19" s="1"/>
  <c r="BQ8" i="19" s="1"/>
  <c r="BR8" i="19" s="1"/>
  <c r="BS8" i="19" s="1"/>
  <c r="BT8" i="19" l="1"/>
  <c r="BU8" i="19" s="1"/>
  <c r="BV8" i="19" s="1"/>
  <c r="BW8" i="19" s="1"/>
  <c r="BX8" i="19" s="1"/>
</calcChain>
</file>

<file path=xl/sharedStrings.xml><?xml version="1.0" encoding="utf-8"?>
<sst xmlns="http://schemas.openxmlformats.org/spreadsheetml/2006/main" count="1220" uniqueCount="529">
  <si>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</si>
  <si>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</si>
  <si>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</si>
  <si>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</si>
  <si>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</si>
  <si>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</si>
  <si>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</si>
  <si>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</si>
  <si>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</si>
  <si>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</si>
  <si>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</si>
  <si>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</si>
  <si>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</si>
  <si>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</si>
  <si>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RA1</t>
  </si>
  <si>
    <t>Cumulative area available (ha)</t>
  </si>
  <si>
    <t>RM6</t>
  </si>
  <si>
    <t>RM7</t>
  </si>
  <si>
    <t>3) See the PRCP guideline before developing site-specific Rehabilitation Area Milestones</t>
  </si>
  <si>
    <t>1) Insert new rows below the table to record more Rehabilitation Area Milestones for the project</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</si>
  <si>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</si>
  <si>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</si>
  <si>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</si>
  <si>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</si>
  <si>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Total rehabilitation area size (ha)</t>
  </si>
  <si>
    <t>Post-mining land uses (PMLU)</t>
  </si>
  <si>
    <t>PMLU</t>
  </si>
  <si>
    <t>RA2</t>
  </si>
  <si>
    <t>Infrastructure</t>
  </si>
  <si>
    <t>RA3</t>
  </si>
  <si>
    <t>RA4</t>
  </si>
  <si>
    <t xml:space="preserve">Grazing </t>
  </si>
  <si>
    <t>Grazing</t>
  </si>
  <si>
    <t>Commencement of first milestone:
RM2</t>
  </si>
  <si>
    <t>Commencement of first milestone:
RM1</t>
  </si>
  <si>
    <t>RA5</t>
  </si>
  <si>
    <t>EA Approved Disturbance not scheduled to be disturbed</t>
  </si>
  <si>
    <t>RA6</t>
  </si>
  <si>
    <t>Native Bushland</t>
  </si>
  <si>
    <t>RM8</t>
  </si>
  <si>
    <t>2) Ensure all Rehabilitation Milestones recorded in this table align with those included in the RA sheets in this form.</t>
  </si>
  <si>
    <t>Commencement of first milestone:
RM3</t>
  </si>
  <si>
    <t>RM9</t>
  </si>
  <si>
    <t>Commencement of first milestone:
RM7</t>
  </si>
  <si>
    <t>10 December 20XX + 76</t>
  </si>
  <si>
    <t>10 December 20XX + 78</t>
  </si>
  <si>
    <t>10 December 20XX + 93</t>
  </si>
  <si>
    <t>10 December 20XX + 72</t>
  </si>
  <si>
    <t>10 December 20XX + 70</t>
  </si>
  <si>
    <t>10 December 20XX + 75</t>
  </si>
  <si>
    <t>10 December 20XX + 85</t>
  </si>
  <si>
    <t>10 December 20XX + 100</t>
  </si>
  <si>
    <t>10 December 20XX + 26</t>
  </si>
  <si>
    <t>10 December 20XX + 27</t>
  </si>
  <si>
    <t>10 December 20XX + 28</t>
  </si>
  <si>
    <t>10 December 20XX + 29</t>
  </si>
  <si>
    <t>10 December 20XX + 30</t>
  </si>
  <si>
    <t>10 December 20XX + 31</t>
  </si>
  <si>
    <t>10 December 20XX + 32</t>
  </si>
  <si>
    <t>10 December 20XX + 33</t>
  </si>
  <si>
    <t>10 December 20XX + 34</t>
  </si>
  <si>
    <t>10 December 20XX + 35</t>
  </si>
  <si>
    <t>10 December 20XX + 36</t>
  </si>
  <si>
    <t>10 December 20XX + 37</t>
  </si>
  <si>
    <t>10 December 20XX + 38</t>
  </si>
  <si>
    <t>10 December 20XX + 39</t>
  </si>
  <si>
    <t>10 December 20XX + 40</t>
  </si>
  <si>
    <t>10 December 20XX + 41</t>
  </si>
  <si>
    <t>10 December 20XX + 42</t>
  </si>
  <si>
    <t>10 December 20XX + 43</t>
  </si>
  <si>
    <t>10 December 20XX + 44</t>
  </si>
  <si>
    <t>10 December 20XX + 45</t>
  </si>
  <si>
    <t>10 December 20XX + 46</t>
  </si>
  <si>
    <t>10 December 20XX + 47</t>
  </si>
  <si>
    <t>10 December 20XX + 48</t>
  </si>
  <si>
    <t>10 December 20XX + 49</t>
  </si>
  <si>
    <t>10 December 20XX + 50</t>
  </si>
  <si>
    <t>10 December 20XX + 51</t>
  </si>
  <si>
    <t>10 December 20XX + 52</t>
  </si>
  <si>
    <t>10 December 20XX + 53</t>
  </si>
  <si>
    <t>10 December 20XX + 54</t>
  </si>
  <si>
    <t>10 December 20XX + 55</t>
  </si>
  <si>
    <t>10 December 20XX + 56</t>
  </si>
  <si>
    <t>10 December 20XX + 57</t>
  </si>
  <si>
    <t>10 December 20XX + 58</t>
  </si>
  <si>
    <t>10 December 20XX + 59</t>
  </si>
  <si>
    <t>10 December 20XX + 60</t>
  </si>
  <si>
    <t>10 December 20XX + 61</t>
  </si>
  <si>
    <t>10 December 20XX + 62</t>
  </si>
  <si>
    <t>10 December 20XX + 63</t>
  </si>
  <si>
    <t>10 December 20XX + 64</t>
  </si>
  <si>
    <t>10 December 20XX + 65</t>
  </si>
  <si>
    <t>10 December 20XX + 66</t>
  </si>
  <si>
    <t>10 December 20XX + 67</t>
  </si>
  <si>
    <t>10 December 20XX + 68</t>
  </si>
  <si>
    <t>10 December 20XX + 69</t>
  </si>
  <si>
    <t>10 December 20XX + 71</t>
  </si>
  <si>
    <t>10 December 20XX + 73</t>
  </si>
  <si>
    <t>10 December 20XX + 74</t>
  </si>
  <si>
    <t>10 December 20XX + 77</t>
  </si>
  <si>
    <t>10 December 20XX + 79</t>
  </si>
  <si>
    <t>10 December 20XX + 80</t>
  </si>
  <si>
    <t>10 December 20XX + 81</t>
  </si>
  <si>
    <t>10 December 20XX + 82</t>
  </si>
  <si>
    <t>10 December 20XX + 83</t>
  </si>
  <si>
    <t>10 December 20XX + 84</t>
  </si>
  <si>
    <t>10 December 20XX + 86</t>
  </si>
  <si>
    <t>10 December 20XX + 87</t>
  </si>
  <si>
    <t>10 December 20XX + 88</t>
  </si>
  <si>
    <t>10 December 20XX + 89</t>
  </si>
  <si>
    <t>10 December 20XX + 90</t>
  </si>
  <si>
    <t>10 December 20XX + 91</t>
  </si>
  <si>
    <t>10 December 20XX + 92</t>
  </si>
  <si>
    <t>10 December 20XX + 94</t>
  </si>
  <si>
    <t>10 December 20XX + 95</t>
  </si>
  <si>
    <t>10 December 20XX + 96</t>
  </si>
  <si>
    <t>10 December 20XX + 97</t>
  </si>
  <si>
    <t>10 December 20XX + 4</t>
  </si>
  <si>
    <t>10 December 20XX + 5</t>
  </si>
  <si>
    <t>10 December 20XX + 6</t>
  </si>
  <si>
    <t>10 December 20XX + 7</t>
  </si>
  <si>
    <t>10 December 20XX + 8</t>
  </si>
  <si>
    <t>10 December 20XX + 9</t>
  </si>
  <si>
    <t>10 December 20XX + 10</t>
  </si>
  <si>
    <t>10 December 20XX + 11</t>
  </si>
  <si>
    <t>10 December 20XX + 12</t>
  </si>
  <si>
    <t>10 December 20XX + 13</t>
  </si>
  <si>
    <t>10 December 20XX + 14</t>
  </si>
  <si>
    <t>10 December 20XX + 15</t>
  </si>
  <si>
    <t>10 December 20XX + 16</t>
  </si>
  <si>
    <t>10 December 20XX + 17</t>
  </si>
  <si>
    <t>10 December 20XX + 18</t>
  </si>
  <si>
    <t>10 December 20XX + 19</t>
  </si>
  <si>
    <t>10 December 20XX + 20</t>
  </si>
  <si>
    <t>10 December 20XX + 21</t>
  </si>
  <si>
    <t>10 December 20XX + 22</t>
  </si>
  <si>
    <t>10 December 20XX + 23</t>
  </si>
  <si>
    <t>10 December 20XX + 24</t>
  </si>
  <si>
    <t>10 December 20XX + 25</t>
  </si>
  <si>
    <t>10 December 20XX + 2</t>
  </si>
  <si>
    <t>10 December 20XX + 3</t>
  </si>
  <si>
    <t>Commencement of first milestone:
RM8</t>
  </si>
  <si>
    <t>Highwalls and End walls including weathered zone</t>
  </si>
  <si>
    <t>RA7</t>
  </si>
  <si>
    <t>Pits including Lowwalls and Overburden Emplacements</t>
  </si>
  <si>
    <t xml:space="preserve">Retained Haul Roads </t>
  </si>
  <si>
    <t>RM10</t>
  </si>
  <si>
    <t>Achievement of PMLU to stable condition</t>
  </si>
  <si>
    <t>10 December 20XX + 98</t>
  </si>
  <si>
    <t>10 December 20XX + 99</t>
  </si>
  <si>
    <t>10 December 20XX + 101</t>
  </si>
  <si>
    <t>10 December 20XX + 102</t>
  </si>
  <si>
    <t>Water Infrastructure</t>
  </si>
  <si>
    <t>Decommissioned haul roads and ROM pads</t>
  </si>
  <si>
    <t>a)	Carbonaceous material removed from all haul roads by scalping to a depth of ≥ 300 mm.
b)	Carbonaceous material removed from ROM by scalping to a depth of ≥ 500 mm.</t>
  </si>
  <si>
    <t>20XX + 4</t>
  </si>
  <si>
    <t>20XX + 2</t>
  </si>
  <si>
    <t>20XX + 70</t>
  </si>
  <si>
    <t>20XX + 76</t>
  </si>
  <si>
    <t xml:space="preserve"> 20XX + 76</t>
  </si>
  <si>
    <t xml:space="preserve"> 20XX + 26</t>
  </si>
  <si>
    <t xml:space="preserve">Infrastructure decommissioned and removed </t>
  </si>
  <si>
    <t xml:space="preserve">Contaminated land remediated </t>
  </si>
  <si>
    <t>Landform reshaped / reprofiled</t>
  </si>
  <si>
    <t>Carbonaceous material removed</t>
  </si>
  <si>
    <t xml:space="preserve">Surface prepared </t>
  </si>
  <si>
    <t>Surface revegetated</t>
  </si>
  <si>
    <t>Rehabilitation of water infrastructure</t>
  </si>
  <si>
    <t>Grazing achieved</t>
  </si>
  <si>
    <t>Native bushland PMLU achieved</t>
  </si>
  <si>
    <t>a)	With the exception of any infrastructure to remain as part of the PMLU or where infrastructure is agreed to be retained by the landholder as evidenced by a signed landholder agreement, the following are completed:
i) All services (water, electricity, gas, etc.) decommissioned.
ii) All hazardous materials removed;
iii) All buildings demolished and removed;
iv) All pipelines decommissioned;
v) All fencing removed;
vi) All roads decommissioned; and
vii) All boreholes decommissioned.
b)	All general waste and demolition waste has been:
i) Removed; or
ii) Disposed of where authorised by EA EPML00297613.</t>
  </si>
  <si>
    <t>a)	Phase 1: A Preliminary site investigation (PSI) completed.
b)	 Phase 2: A detailed site investigation (DSI) has been completed where the PSI completed under criterion RM2(a) identifies contamination is present, or is likely to be present, and said contaminated material is likely to result in a risk to human health or cause environmental harm.
c)	Where contamination has been identified through a DSI under criterion RM2(b), remediation and removal of contaminated material has been completed.
d)	The site suitability statement states the land is not contaminated land and is suitable for the proposed PMLU.
e)	Auditor certifies, as per the Environmental Protection Act 1994 (EP Act) (Qld), that all contaminated materials have been remediated, or removed and disposed of.</t>
  </si>
  <si>
    <t>a)	Vegetation groundcover and / or rock cover is ≥ 50 %. 
b)	Proportion of Category 3 restricted invasive plant species and Weeds of National Significance is &lt; 10% of total vegetative groundcover.
c)	≥ 3 native tree / shrub species.</t>
  </si>
  <si>
    <t>RM10 cont.</t>
  </si>
  <si>
    <t xml:space="preserve">a)	External batters of overburden emplacements have a maximum slope of 18 %.
b)	Final void lowwall slopes are ≤ 22 %.
c)	Highwall weathered zones have been battered back to ≤ 22 % and achieved a FOS of ≥ 1.2.
d)	Highwall unweathered material is retained with slopes ≤ 214 % and achieved a FOS of ≥ 1.2. 
e)	Highwall safety bunds and fence installed on highwall weathered zones.
f)	Eight pits will be reprofiled to create void depressions and may contain ephemeral waterbodies.
g)	Eight pits will be reprofiled to form free draining landform. </t>
  </si>
  <si>
    <t>a)	Topsoil placed to a depth of:
i)	≥ 100 mm for infrastructure areas and roads.
ii)	≥ 200 mm for overburden emplacements and lowwalls areas.
iii)	≥ 200 mm for weathered zones of highwalls.
b)	Topsoil or growth medium is tested prior to placement on the landform for the below parameters:
i)	pH 5.4 – 9.5;
ii)	Electrical Conductivity &lt; 1800 µS/cm;
iii)	Nitrate &gt; 5 mg/kg;
iv)	Total Kjeldahl Nitrogen &gt; 500 mg/kg;
v)	Total Phosphorus ≥ 50 mg/kg;
vi)	Exchangeable Sodium Percentage &lt; 6 %.
c)	Where the topsoil or growth medium tested does not meet the criteria under RM5(b), ameliorants have been applied to meet the criteria under RM5(b).
d)	Contour ripping completed at a depth ≥ 200 mm.</t>
  </si>
  <si>
    <t>a)	The seed mix will be derived from a selection of species listed in the overarching species list provided in PRCP Schedule Attachment 1 for the relevant PMLU. 
b)	Seed mix applied at the rate listed in PRCP Schedule Attachment 1 for the relevant PMLU.</t>
  </si>
  <si>
    <t>a)	Groundwater quality results monitored quarterly at, but not limited to, the monitoring locations specified in PRCP Schedule Attachment 2 – Groundwater Monitoring Locations, for all quality characteristics listed in in PRCP Schedule Attachment 3 – Groundwater Quality Limits, for a minimum of five (5) years, must not exceed the limits in PRCP Schedule Attachment 3, for three (3) consecutive results. 
b)	Surface water quality results monitored monthly during flow at, but not limited to, downstream locations specified in PRCP Schedule Attachment 4 – Surface Water Monitoring Locations, must not exceed the limits in in PRCP Schedule Attachment 5 – Surface Water Quality Limits, for a minimum of five (5) years. 
c)	If (A) the surface water quality results exceed the criteria in RM10(b); and (B) if there is flow at both the upstream and downstream monitoring location for each creek; then, each year by 1 November, an AQP must complete and provide to the administering authority an assessment of the cause of the exceedance, and the risk of rehabilitation not achieving a stable condition. Where the assessment concludes:
i)	that there is low risk to achieving a stable condition, then no further action is to be taken;
ii)	that there is a risk greater than low to achieving a stable condition, then an assessment of potential environmental harm and any changes or rectification actions to rehabilitation activities must be determined and implemented.
d)	If RM10(c)(ii) is triggered, then the 5-year timeframe under RM10(b) is reset.
e)	For a Grazing PMLU, vegetation groundcover is ≥ 75 %.
f)	For a Native Bushland PMLU, vegetation groundcover and / or rock cover is ≥ 60 %. 
g)	Average erosion rate for a Grazing PMLU is 6.4 /ha/yr with the maximum erosion rate at any point on the landform of 17.4 t/ha/yr.
h)	Average erosion rate for a Native Bushland PMLU 11.8 t/ha/yr with the maximum erosion rate at any point on the landform of 19 t/ha/yr.
i)	Gully depth is ≤ 0.3 m.</t>
  </si>
  <si>
    <t>j)	Despite RM10(i) gullies are acceptable in the achievement of a stable landform provided they meet the following criteria as certified by an AQP:
i)	does not exceed 1 m in depth at any point; and
ii)	has not exposed environmentally problematic materials; and
iii)	the cause of the gully is known and has been resolved; and
iv)	has established and persistent vegetation cover, and/ or rock armouring at the head of the gully; and
v)	is in a stabilised state, demonstrated by monitoring data over a 5-year period; and
vi)	does not provide a safety hazard within the context of the PMLU; and
vii)	are isolated.
k)	A rehabilitation performance assessment is completed using the methodology outlined in PRCP Schedule Attachment 6 – Method of Assessment.
l)	Risk Assessment completed demonstrates risks in the rehabilitation area are similar to risks in neighbouring unmined landscapes subject to a similar PMLU.</t>
  </si>
  <si>
    <t>Scientific Name</t>
  </si>
  <si>
    <t>Common Name</t>
  </si>
  <si>
    <t>Seeding Rate (kg/ha)</t>
  </si>
  <si>
    <t>Native bushland trees / shrubs</t>
  </si>
  <si>
    <t>Acacia harpophylla</t>
  </si>
  <si>
    <t>Brigalow</t>
  </si>
  <si>
    <t>Acacia oswaldii</t>
  </si>
  <si>
    <t>Umbrella Wattle</t>
  </si>
  <si>
    <t>Acacia pendula</t>
  </si>
  <si>
    <t>Weeping Myall</t>
  </si>
  <si>
    <t>Acacia salicina</t>
  </si>
  <si>
    <t>Sally Wattle</t>
  </si>
  <si>
    <t>Acacia stenophylla</t>
  </si>
  <si>
    <t>Shoestring Acacia</t>
  </si>
  <si>
    <t>Alectryon diversifolius</t>
  </si>
  <si>
    <t>Scrub Boonaree</t>
  </si>
  <si>
    <t>Alectryon oleifolius</t>
  </si>
  <si>
    <t>Boonaree</t>
  </si>
  <si>
    <t>Allocasuarina luehmannii</t>
  </si>
  <si>
    <t>Bull Oak</t>
  </si>
  <si>
    <t>Alphitonia excelsa</t>
  </si>
  <si>
    <t>Soap Tree</t>
  </si>
  <si>
    <t>Atalaya hemiglauca</t>
  </si>
  <si>
    <t>Whitewood</t>
  </si>
  <si>
    <t>Bauhinia carronii</t>
  </si>
  <si>
    <t>Bean Tree</t>
  </si>
  <si>
    <t>Brachychiton populneus</t>
  </si>
  <si>
    <t>Kurrajong</t>
  </si>
  <si>
    <t>Brachychiton rupestris</t>
  </si>
  <si>
    <t>Queensland Bottle Tree</t>
  </si>
  <si>
    <t>Capparis lasiantha</t>
  </si>
  <si>
    <t>Nipan</t>
  </si>
  <si>
    <t>Carissa ovata</t>
  </si>
  <si>
    <t>Currant bush</t>
  </si>
  <si>
    <t>Casuarina cristata</t>
  </si>
  <si>
    <t>Belah</t>
  </si>
  <si>
    <t>Citrus glauca</t>
  </si>
  <si>
    <t>Desert Lime</t>
  </si>
  <si>
    <t>Corymbia tessellaris</t>
  </si>
  <si>
    <t>Moreton Bay Ash</t>
  </si>
  <si>
    <t>Dodonaea viscosa</t>
  </si>
  <si>
    <t>Hopbush</t>
  </si>
  <si>
    <t>Ehretia membranifolia</t>
  </si>
  <si>
    <t>Weeping Koda</t>
  </si>
  <si>
    <t>Eremophila bignoniiflora</t>
  </si>
  <si>
    <t>Bignonia Emu-bush</t>
  </si>
  <si>
    <t>Eremophila deserti</t>
  </si>
  <si>
    <t>Turkey Bush</t>
  </si>
  <si>
    <t>Eremophila maculata</t>
  </si>
  <si>
    <t>Spotted Emu-bush</t>
  </si>
  <si>
    <t>Eremophila mitchellii</t>
  </si>
  <si>
    <t>Budda</t>
  </si>
  <si>
    <t>Eucalyptus crebra</t>
  </si>
  <si>
    <t>Narrow-leaved red ironbark</t>
  </si>
  <si>
    <t>Eucalyptus melanophloia</t>
  </si>
  <si>
    <t>Narrow-leaved ironbark</t>
  </si>
  <si>
    <t>Eucalyptus orgadophila</t>
  </si>
  <si>
    <t>Silver-leaved ironbark</t>
  </si>
  <si>
    <t>Eucalyptus populnea</t>
  </si>
  <si>
    <t>Poplar Box</t>
  </si>
  <si>
    <t>Flindersia australis</t>
  </si>
  <si>
    <t>Australian Teak</t>
  </si>
  <si>
    <t>Geijera parviflora</t>
  </si>
  <si>
    <t>Wilga</t>
  </si>
  <si>
    <t>Grevillea striata</t>
  </si>
  <si>
    <t>Beefwood</t>
  </si>
  <si>
    <t>Lysiphyllum carronii</t>
  </si>
  <si>
    <t>Queensland Ebony</t>
  </si>
  <si>
    <t>Notelaea microcarpa</t>
  </si>
  <si>
    <t>Native Olive</t>
  </si>
  <si>
    <t>Psydrax oleifolia</t>
  </si>
  <si>
    <t>Wild Lemon</t>
  </si>
  <si>
    <t>Native bushland grass / legumes</t>
  </si>
  <si>
    <t>Ancistrachne uncinulata</t>
  </si>
  <si>
    <t>Hooky Grass</t>
  </si>
  <si>
    <t>Atriplex muelleri</t>
  </si>
  <si>
    <t>Lagoon Saltbush</t>
  </si>
  <si>
    <t>Aristida caput-medusae</t>
  </si>
  <si>
    <t>Many-headed Wiregrass</t>
  </si>
  <si>
    <t>Aristida latifolia</t>
  </si>
  <si>
    <t>Feathertop Wiregrass</t>
  </si>
  <si>
    <t>Aristida personata</t>
  </si>
  <si>
    <t>Purple Wiregrass</t>
  </si>
  <si>
    <t>Boerhavia dominii</t>
  </si>
  <si>
    <t>Tarvine</t>
  </si>
  <si>
    <t>Bothriochloa bladhii</t>
  </si>
  <si>
    <t>Forest Bluegrass</t>
  </si>
  <si>
    <t>Bothriochloa ewartiana</t>
  </si>
  <si>
    <t>Creeping Bluegrass</t>
  </si>
  <si>
    <t>Bothriochloa insculpta</t>
  </si>
  <si>
    <t>Desert Bluegrass</t>
  </si>
  <si>
    <t>Breynia oblongifolia</t>
  </si>
  <si>
    <t>Coffee bush</t>
  </si>
  <si>
    <t>Chloris divaricata</t>
  </si>
  <si>
    <t>Slender Chloris</t>
  </si>
  <si>
    <t>Cyperus fulvus</t>
  </si>
  <si>
    <t>Sticky Sedge</t>
  </si>
  <si>
    <t>Cyperus gracilis</t>
  </si>
  <si>
    <t>Slender Flat Sedge</t>
  </si>
  <si>
    <t>Dichanthium sericeum</t>
  </si>
  <si>
    <t>Queensland Bluegrass</t>
  </si>
  <si>
    <t>Echinochloa esculenta</t>
  </si>
  <si>
    <t>Jap Millet</t>
  </si>
  <si>
    <t>Einadia nutans</t>
  </si>
  <si>
    <t>Climbing Saltbush</t>
  </si>
  <si>
    <t>Enchylaena tomentosa</t>
  </si>
  <si>
    <t>Ruby Saltbush</t>
  </si>
  <si>
    <t>Enneapogon lindleyanu</t>
  </si>
  <si>
    <t>Lindley Nineawn</t>
  </si>
  <si>
    <t>Enteropogon acicularis</t>
  </si>
  <si>
    <t>Curly Windmill Grass</t>
  </si>
  <si>
    <t>Enteropogon unispiceus</t>
  </si>
  <si>
    <t>Windmill Grass</t>
  </si>
  <si>
    <t>Eragrostis megalosperma</t>
  </si>
  <si>
    <t>Lovegrasses</t>
  </si>
  <si>
    <t>Eragrostis spartinoides</t>
  </si>
  <si>
    <t>Goodenia glabra</t>
  </si>
  <si>
    <t>Shiny pansy</t>
  </si>
  <si>
    <t>Heteropogon contortus</t>
  </si>
  <si>
    <t>Black Speargrass</t>
  </si>
  <si>
    <t>Paspalidium caespitosum</t>
  </si>
  <si>
    <t>Brigalow Grass</t>
  </si>
  <si>
    <t>Grazing pasture / legumes</t>
  </si>
  <si>
    <t>Clitorea ternatea</t>
  </si>
  <si>
    <t>Butterfly Pea</t>
  </si>
  <si>
    <t>Desmanthus virgatus</t>
  </si>
  <si>
    <t>Desmanthus</t>
  </si>
  <si>
    <t>Silky Bluegrass</t>
  </si>
  <si>
    <t>Megathyrsus maximus</t>
  </si>
  <si>
    <t>Green Panic</t>
  </si>
  <si>
    <t>Panicum effusum</t>
  </si>
  <si>
    <t>Hairy Panic</t>
  </si>
  <si>
    <t>Panicum maximum</t>
  </si>
  <si>
    <t>Gatton Panic</t>
  </si>
  <si>
    <t>Stylosanthes hamata</t>
  </si>
  <si>
    <t>Caatinga Stylo</t>
  </si>
  <si>
    <t>Stylosanthes scabra</t>
  </si>
  <si>
    <t>Shrubby Stylo</t>
  </si>
  <si>
    <t>Stylosanthes seabrana</t>
  </si>
  <si>
    <t>Caribbean Stylo</t>
  </si>
  <si>
    <t>Cenchrus ciliare</t>
  </si>
  <si>
    <t>Buffel (as a persistent perennial species adapted to variable rainfall areas)</t>
  </si>
  <si>
    <t>Group</t>
  </si>
  <si>
    <t>Name</t>
  </si>
  <si>
    <t>Current EA</t>
  </si>
  <si>
    <t>Easting (m)</t>
  </si>
  <si>
    <t>Northing (m)</t>
  </si>
  <si>
    <t>Screen Interval (mbGL)</t>
  </si>
  <si>
    <t>Screened Hydrostratigraphic Unit</t>
  </si>
  <si>
    <t>Location</t>
  </si>
  <si>
    <t>Comments</t>
  </si>
  <si>
    <t>Group 1</t>
  </si>
  <si>
    <t>WMB2</t>
  </si>
  <si>
    <t>Yes</t>
  </si>
  <si>
    <t>70.0 to 73.0</t>
  </si>
  <si>
    <t>WCM (Macalister Lower)</t>
  </si>
  <si>
    <t>East of Frank Creek South Pit</t>
  </si>
  <si>
    <t>WMB3-D</t>
  </si>
  <si>
    <t>49.0 to 58.0</t>
  </si>
  <si>
    <t>WCM (Wambo)</t>
  </si>
  <si>
    <t>Footprint of Austinvale Pit</t>
  </si>
  <si>
    <t>To be decommissioned during operations</t>
  </si>
  <si>
    <t>G8012-D</t>
  </si>
  <si>
    <t>16.1 to 19.1</t>
  </si>
  <si>
    <t>28.1 to 38.1</t>
  </si>
  <si>
    <t>WCM</t>
  </si>
  <si>
    <t>East of Woleebee North Sat Pit</t>
  </si>
  <si>
    <t>G8013-D</t>
  </si>
  <si>
    <t>33.2 to 39.5</t>
  </si>
  <si>
    <t>Between Woleebee North and Woleebee Pits</t>
  </si>
  <si>
    <t>Group 2</t>
  </si>
  <si>
    <t>WMB3-S</t>
  </si>
  <si>
    <t>38.0 to 44.0</t>
  </si>
  <si>
    <t>WCM (Macalister Upper)</t>
  </si>
  <si>
    <t>G8010-S</t>
  </si>
  <si>
    <t>4.9 to 7.8</t>
  </si>
  <si>
    <t>Alluvium</t>
  </si>
  <si>
    <t>Southwest of Frank Creek South Pit</t>
  </si>
  <si>
    <t>Additional data required to develop baseline/trigger values</t>
  </si>
  <si>
    <t>G8012-S</t>
  </si>
  <si>
    <t>6.0 to 9.0</t>
  </si>
  <si>
    <t>G8013-S</t>
  </si>
  <si>
    <t>9.0 to 12.0</t>
  </si>
  <si>
    <t>G8016-S</t>
  </si>
  <si>
    <t>5.1 to 8.3</t>
  </si>
  <si>
    <t>East of Woleebee Pit</t>
  </si>
  <si>
    <t>G8017-S</t>
  </si>
  <si>
    <t>3.4 to 6.4</t>
  </si>
  <si>
    <t>East of Mud Creek East Pit</t>
  </si>
  <si>
    <t>G8018-D</t>
  </si>
  <si>
    <t>19.4 to 22.2</t>
  </si>
  <si>
    <t>28.6 to 31.5</t>
  </si>
  <si>
    <t>North of Mud Creek North Pit</t>
  </si>
  <si>
    <t>2023MB06</t>
  </si>
  <si>
    <t>No</t>
  </si>
  <si>
    <t>51.0 to 57.0</t>
  </si>
  <si>
    <t>Sandstone</t>
  </si>
  <si>
    <t>South of Woleebee Pit</t>
  </si>
  <si>
    <t>2023MB11D</t>
  </si>
  <si>
    <t>19.0 to 25.0</t>
  </si>
  <si>
    <t>East of Austinvale North Pit</t>
  </si>
  <si>
    <t>2023MB11S</t>
  </si>
  <si>
    <t>1.0 to 3.0</t>
  </si>
  <si>
    <t>2023MB12</t>
  </si>
  <si>
    <t>19.0 to 22.0</t>
  </si>
  <si>
    <t>East of Austinvale Pit</t>
  </si>
  <si>
    <t>2023MB13</t>
  </si>
  <si>
    <t>30.0 to 36.0</t>
  </si>
  <si>
    <t>South of Frank Creek North Pit</t>
  </si>
  <si>
    <t>2023MB15D</t>
  </si>
  <si>
    <t>24.0 to 30.0</t>
  </si>
  <si>
    <t>West of Austinvale North PiT</t>
  </si>
  <si>
    <t>Group 3</t>
  </si>
  <si>
    <t>Proposed 1</t>
  </si>
  <si>
    <t>TBD</t>
  </si>
  <si>
    <t>North of Turkey Hill Pit</t>
  </si>
  <si>
    <t>To be drilled 2 years prior to mining (approx. year 59)</t>
  </si>
  <si>
    <t>Proposed 2</t>
  </si>
  <si>
    <t>Northeast Summer Hill Pit</t>
  </si>
  <si>
    <t>To be drilled 2 years prior to mining (approx. year 49)</t>
  </si>
  <si>
    <t>Proposed 3</t>
  </si>
  <si>
    <t>South of Mud Creek Pit</t>
  </si>
  <si>
    <t>To be drilled 2 years prior to mining (approx. year 50)</t>
  </si>
  <si>
    <t>Proposed 4</t>
  </si>
  <si>
    <t>To be drilled 2 years prior to mining (approx. year 39)</t>
  </si>
  <si>
    <t>Proposed 5</t>
  </si>
  <si>
    <t>Northeast Mud Creek East Pit</t>
  </si>
  <si>
    <t>Proposed 6</t>
  </si>
  <si>
    <t>Northwest of Summer Hill Pit</t>
  </si>
  <si>
    <t>Proposed 7</t>
  </si>
  <si>
    <t>East of Summer Hill Pit</t>
  </si>
  <si>
    <t>Proposed 8</t>
  </si>
  <si>
    <t>East of Wubagul Pit</t>
  </si>
  <si>
    <t>To be drilled 2 years prior to mining (approx. year 70)</t>
  </si>
  <si>
    <t>(KCB, Groundwater monitoring program, September 2024)</t>
  </si>
  <si>
    <t>Monitoring network (KCB, Groundwater monitoring program, September 2024)</t>
  </si>
  <si>
    <t xml:space="preserve">Parameter </t>
  </si>
  <si>
    <t>Unit</t>
  </si>
  <si>
    <t>Bore Specific Triggers</t>
  </si>
  <si>
    <t>Interim Triggers</t>
  </si>
  <si>
    <t>Source</t>
  </si>
  <si>
    <t>Aquifer</t>
  </si>
  <si>
    <t>Walloon Coal Measures</t>
  </si>
  <si>
    <t>Bore ID</t>
  </si>
  <si>
    <t>N/A</t>
  </si>
  <si>
    <t>pH</t>
  </si>
  <si>
    <t>--</t>
  </si>
  <si>
    <t>Site Specific</t>
  </si>
  <si>
    <t>EC</t>
  </si>
  <si>
    <t>uS/cm</t>
  </si>
  <si>
    <t>Sulfate</t>
  </si>
  <si>
    <t>mg/L</t>
  </si>
  <si>
    <t>ANZG (2023). Livestock drinking water guidelines</t>
  </si>
  <si>
    <t xml:space="preserve">Aluminium (dissolved) </t>
  </si>
  <si>
    <t>ug/L</t>
  </si>
  <si>
    <t xml:space="preserve">ANZECC aquatic ecosystem trigger value (95% species protection level) </t>
  </si>
  <si>
    <t xml:space="preserve">Iron (dissolved) </t>
  </si>
  <si>
    <t xml:space="preserve">No guideline value for Australia. Canadian value recommended for use as 300 µg/L </t>
  </si>
  <si>
    <t xml:space="preserve">Arsenic (dissolved) </t>
  </si>
  <si>
    <t xml:space="preserve">Selenium (dissolved) </t>
  </si>
  <si>
    <t>Attachment 3 Groundwater Quality Limits</t>
  </si>
  <si>
    <t>Attachment 2 Groundwater Monitoring Locations</t>
  </si>
  <si>
    <t>Attachment 1 Seed Mix Species / Rates</t>
  </si>
  <si>
    <t>Site</t>
  </si>
  <si>
    <t>Easting (WGS84)</t>
  </si>
  <si>
    <t>Northing (WGS84)</t>
  </si>
  <si>
    <t>Status</t>
  </si>
  <si>
    <t>Juandah Creek Upstream</t>
  </si>
  <si>
    <t>Operational</t>
  </si>
  <si>
    <t>Outside ML 50230 to the east upstream of the confluence with Two Mile Creek. Upstream of Wubagul mining area footprint.</t>
  </si>
  <si>
    <t>Juandah Creek Downstream</t>
  </si>
  <si>
    <t>Outside ML 50230 to the north downstream of the confluence with Frank Creek and the unnamed tributary flowing through the north boundary of ML 50230. Downstream of the Austinvale and Austinvale North mining area footprints.</t>
  </si>
  <si>
    <t>Frank Creek Upstream</t>
  </si>
  <si>
    <t xml:space="preserve">Within ML 50230 to the east upstream of the confluence with Halfway Creek. Downstream of the Frank Creek South mining area footprint. </t>
  </si>
  <si>
    <t>Upstream of the Frank Creek, Frank Creek North and Leichardt mining area footprints.</t>
  </si>
  <si>
    <t>Frank Creek Downstream</t>
  </si>
  <si>
    <t xml:space="preserve">Just outside ML 50230 to the north and immediate upstream of the confluence with Juandah Creek. </t>
  </si>
  <si>
    <t>Downstream of the Franck Creek South, Frank Creek, Frank Creek North and Leichardt mining area footprints.</t>
  </si>
  <si>
    <t>Woleebee Creek Upstream</t>
  </si>
  <si>
    <t xml:space="preserve">Outside ML 50231 to the south. </t>
  </si>
  <si>
    <t>Upstream of the Woleebee Creek mining area footprint.</t>
  </si>
  <si>
    <t>Woleebee Creek Downstream</t>
  </si>
  <si>
    <t xml:space="preserve">Within ML 50231 to the west. </t>
  </si>
  <si>
    <t xml:space="preserve">Downstream of Woleebee Creek, Woleebee North and Woleebee North Satellite </t>
  </si>
  <si>
    <t>mining area footprints and proposed MAWD1 RP.</t>
  </si>
  <si>
    <t>Mud Creek Upstream</t>
  </si>
  <si>
    <t xml:space="preserve">Outside ML 50229 to the south. </t>
  </si>
  <si>
    <t>Upstream of Mud Creek mining area footprint.</t>
  </si>
  <si>
    <t>Mud Creek Downstream</t>
  </si>
  <si>
    <t xml:space="preserve">Just outside ML 50229 to the north. </t>
  </si>
  <si>
    <t>Downstream of Mud Creek, Mud Creek North and Summer Hill mining area footprints.</t>
  </si>
  <si>
    <t>Mount Organ Creek Upstream</t>
  </si>
  <si>
    <t>Upstream of Summer Hill mining area footprint.</t>
  </si>
  <si>
    <t>Spring Creek Upstream</t>
  </si>
  <si>
    <t xml:space="preserve">Inside ML 50229 to the west. </t>
  </si>
  <si>
    <t>Just downstream of Turkey Hill mining area footprint.</t>
  </si>
  <si>
    <t>(KCB, Surface water monitoring plan – draft rev A, September 2024)</t>
  </si>
  <si>
    <t>Attachment 4 Surface Water Monitoring Locations</t>
  </si>
  <si>
    <t>Existing surface water monitoring network (KCB, Surface water monitoring plan – draft rev A, September 2024)</t>
  </si>
  <si>
    <t>Parameter</t>
  </si>
  <si>
    <t>Proposed Site Limit</t>
  </si>
  <si>
    <t xml:space="preserve">EA Limits </t>
  </si>
  <si>
    <t xml:space="preserve">Guidelines Values </t>
  </si>
  <si>
    <t>6.5-9</t>
  </si>
  <si>
    <t>6.5-8.5</t>
  </si>
  <si>
    <t>Turbidity</t>
  </si>
  <si>
    <t>NTU</t>
  </si>
  <si>
    <t>Arsenic (dissolved)</t>
  </si>
  <si>
    <t>Boron (dissolved)</t>
  </si>
  <si>
    <t>Copper (dissolved)</t>
  </si>
  <si>
    <t>Molybdenum (dissolved)</t>
  </si>
  <si>
    <t>Nickel (dissolved)</t>
  </si>
  <si>
    <t>Selenium (dissolved)</t>
  </si>
  <si>
    <t>Uranium (dissolved)</t>
  </si>
  <si>
    <t>Zinc (dissolved)</t>
  </si>
  <si>
    <t>Major ions: Calcium, Chloride, Magnesium, Sodium, Potasium, Carbonate and Bicarbonate</t>
  </si>
  <si>
    <t>For Interpretation Only</t>
  </si>
  <si>
    <t>Attachment 5 Surface Water Quality Limits</t>
  </si>
  <si>
    <t>Method</t>
  </si>
  <si>
    <t>Tree canopy height</t>
  </si>
  <si>
    <t>Five 5x10m subplots in 10x50m plot. All woody species over 2m measured</t>
  </si>
  <si>
    <t>Recruitment of dominant canopy spp.</t>
  </si>
  <si>
    <t>Five 5x10m subplots in 10x50m plot</t>
  </si>
  <si>
    <t>Assess number of individuals per framework species, recruitment</t>
  </si>
  <si>
    <t>Native tree spp. richness</t>
  </si>
  <si>
    <t>Tree canopy cover</t>
  </si>
  <si>
    <t>100m transect using line intercept method (Grieg-Smith 1964)</t>
  </si>
  <si>
    <t>Shrub cover</t>
  </si>
  <si>
    <t>Coarse woody debris</t>
  </si>
  <si>
    <t>Native plant spp. richness</t>
  </si>
  <si>
    <t>Non-native cover</t>
  </si>
  <si>
    <t>Non-natives species richness recorded (see below)</t>
  </si>
  <si>
    <t>Native perennial grass cover</t>
  </si>
  <si>
    <t>Recorded as part of overall live ground cover in five 1x1m quadrats every 10m along transect</t>
  </si>
  <si>
    <t>Organic litter, rock, bare, cryptograms</t>
  </si>
  <si>
    <t>Five 1x1m quadrats every 10m along transect</t>
  </si>
  <si>
    <t>Slope</t>
  </si>
  <si>
    <t>At each transect</t>
  </si>
  <si>
    <t>Soils</t>
  </si>
  <si>
    <t>Bulk sample from five sub-samples at 10m Intervals along transect. Assessed for suite of variables</t>
  </si>
  <si>
    <t>Erosion</t>
  </si>
  <si>
    <t>Record distance along transect where present, severity rating 1 (no erosion) to 5 (gully &gt;1m deep)</t>
  </si>
  <si>
    <t>Non-native spp. richness</t>
  </si>
  <si>
    <t>Biomass</t>
  </si>
  <si>
    <t>Tree hollows</t>
  </si>
  <si>
    <t>Visually estimated at three points at 0, 25, 50m along transect</t>
  </si>
  <si>
    <t>Free water</t>
  </si>
  <si>
    <t>Attachment 6 Rehabilitation Performance Method of Assessment</t>
  </si>
  <si>
    <t>a)	All water infrastructure, either retained as evidenced by a written and signed landholder agreement or ephemeral water bodies which are to remain as part of the PMLU to comply with the following:
i)	All contaminated sediment has been removed;
ii)	Safely accessible; and
iii)	Total dissolved solids ≤ 5,000 mg/L
b)	All water infrastructure which are not to remain or be retained under criterion RM7(a), comply with the following:
i)	Where present, liners are removed;
ii)	 All contaminated sediment has been removed; and
iii)	Earthworks are completed to decommission dam walls.</t>
  </si>
  <si>
    <t xml:space="preserve">a)	Vegetation groundcover is ≥ 65 %.
b)	Proportion of Category 3 restricted invasive plant species and Weeds of National Significance is &lt; 10% of total vegetative groundcover.
c)	The landform is free draining with the exception of water management infrastructure retained under RM7 where residual voids hold ephemeral waterbodies. 
d)	Vegetation species diversity includes ≥ 3 productive grass species. 
e)	Average pasture yield is &gt; 1,000 kg/ha.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</si>
</sst>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21"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8"/>
      <name val="Calibri"/>
      <family val="2"/>
      <scheme val="minor"/>
    </font>
    <font>
      <sz val="11"/>
      <name val="Arial"/>
      <family val="2"/>
    </font>
    <font>
      <sz val="11"/>
      <name val="Calibri"/>
      <family val="2"/>
      <scheme val="minor"/>
    </font>
    <font>
      <b/>
      <sz val="11"/>
      <color theme="1"/>
      <name val="Calibri"/>
      <family val="2"/>
      <scheme val="minor"/>
    </font>
    <font>
      <sz val="11"/>
      <name val="Arial"/>
    </font>
    <font>
      <sz val="10.5"/>
      <color theme="1"/>
      <name val="Calibri"/>
      <family val="2"/>
      <scheme val="minor"/>
    </font>
    <font>
      <b/>
      <sz val="10.5"/>
      <color rgb="FFFFFFFF"/>
      <name val="Calibri"/>
      <family val="2"/>
      <scheme val="minor"/>
    </font>
    <font>
      <sz val="10.5"/>
      <color rgb="FF000000"/>
      <name val="Calibri"/>
      <family val="2"/>
      <scheme val="minor"/>
    </font>
    <font>
      <b/>
      <sz val="10.5"/>
      <color theme="1"/>
      <name val="Calibri"/>
      <family val="2"/>
      <scheme val="minor"/>
    </font>
    <font>
      <b/>
      <sz val="10.5"/>
      <color rgb="FF000000"/>
      <name val="Calibri"/>
      <family val="2"/>
      <scheme val="minor"/>
    </font>
    <font>
      <b/>
      <sz val="20"/>
      <name val="Arial"/>
      <family val="2"/>
    </font>
    <font>
      <b/>
      <sz val="14"/>
      <color rgb="FFFFFFFF"/>
      <name val="Calibri"/>
      <family val="2"/>
      <scheme val="minor"/>
    </font>
    <font>
      <b/>
      <i/>
      <sz val="14"/>
      <color rgb="FF000000"/>
      <name val="Calibri"/>
      <family val="2"/>
      <scheme val="minor"/>
    </font>
    <font>
      <i/>
      <sz val="14"/>
      <color rgb="FF000000"/>
      <name val="Calibri"/>
      <family val="2"/>
      <scheme val="minor"/>
    </font>
    <font>
      <sz val="14"/>
      <color rgb="FF000000"/>
      <name val="Calibri"/>
      <family val="2"/>
      <scheme val="minor"/>
    </font>
    <font>
      <i/>
      <sz val="14"/>
      <color theme="1"/>
      <name val="Calibri"/>
      <family val="2"/>
      <scheme val="minor"/>
    </font>
    <font>
      <sz val="14"/>
      <color theme="1"/>
      <name val="Calibri"/>
      <family val="2"/>
      <scheme val="minor"/>
    </font>
  </fonts>
  <fills count="13">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00AFAA"/>
        <bgColor indexed="64"/>
      </patternFill>
    </fill>
    <fill>
      <patternFill patternType="solid">
        <fgColor rgb="FFCCEFEE"/>
        <bgColor indexed="64"/>
      </patternFill>
    </fill>
    <fill>
      <patternFill patternType="solid">
        <fgColor rgb="FFEDEDED"/>
        <bgColor indexed="64"/>
      </patternFill>
    </fill>
    <fill>
      <patternFill patternType="solid">
        <fgColor rgb="FF3EC2BF"/>
        <bgColor indexed="64"/>
      </patternFill>
    </fill>
  </fills>
  <borders count="28">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style="medium">
        <color auto="1"/>
      </right>
      <top/>
      <bottom/>
      <diagonal/>
    </border>
    <border>
      <left style="medium">
        <color rgb="FF7D91A5"/>
      </left>
      <right style="medium">
        <color rgb="FF7D91A5"/>
      </right>
      <top style="medium">
        <color rgb="FF7D91A5"/>
      </top>
      <bottom style="medium">
        <color rgb="FF7D91A5"/>
      </bottom>
      <diagonal/>
    </border>
    <border>
      <left/>
      <right style="medium">
        <color rgb="FF7D91A5"/>
      </right>
      <top style="medium">
        <color rgb="FF7D91A5"/>
      </top>
      <bottom style="medium">
        <color rgb="FF7D91A5"/>
      </bottom>
      <diagonal/>
    </border>
    <border>
      <left style="medium">
        <color rgb="FF7D91A5"/>
      </left>
      <right style="medium">
        <color rgb="FF7D91A5"/>
      </right>
      <top/>
      <bottom style="medium">
        <color rgb="FF7D91A5"/>
      </bottom>
      <diagonal/>
    </border>
    <border>
      <left style="medium">
        <color rgb="FF7D91A5"/>
      </left>
      <right/>
      <top/>
      <bottom style="medium">
        <color rgb="FF7D91A5"/>
      </bottom>
      <diagonal/>
    </border>
    <border>
      <left/>
      <right style="medium">
        <color rgb="FF7D91A5"/>
      </right>
      <top/>
      <bottom style="medium">
        <color rgb="FF7D91A5"/>
      </bottom>
      <diagonal/>
    </border>
    <border>
      <left style="medium">
        <color rgb="FF7D91A5"/>
      </left>
      <right/>
      <top style="medium">
        <color rgb="FF7D91A5"/>
      </top>
      <bottom style="medium">
        <color rgb="FF7D91A5"/>
      </bottom>
      <diagonal/>
    </border>
    <border>
      <left/>
      <right/>
      <top style="medium">
        <color rgb="FF7D91A5"/>
      </top>
      <bottom style="medium">
        <color rgb="FF7D91A5"/>
      </bottom>
      <diagonal/>
    </border>
    <border>
      <left style="medium">
        <color rgb="FF7D91A5"/>
      </left>
      <right style="medium">
        <color rgb="FF7D91A5"/>
      </right>
      <top/>
      <bottom/>
      <diagonal/>
    </border>
    <border>
      <left/>
      <right style="medium">
        <color rgb="FF7D91A5"/>
      </right>
      <top/>
      <bottom/>
      <diagonal/>
    </border>
    <border>
      <left style="medium">
        <color rgb="FF7D91A5"/>
      </left>
      <right style="medium">
        <color rgb="FF7D91A5"/>
      </right>
      <top style="medium">
        <color rgb="FF7D91A5"/>
      </top>
      <bottom/>
      <diagonal/>
    </border>
    <border>
      <left/>
      <right style="medium">
        <color rgb="FF7D91A5"/>
      </right>
      <top style="medium">
        <color rgb="FF7D91A5"/>
      </top>
      <bottom/>
      <diagonal/>
    </border>
    <border>
      <left style="medium">
        <color rgb="FF7D91A5"/>
      </left>
      <right/>
      <top style="medium">
        <color rgb="FF7D91A5"/>
      </top>
      <bottom/>
      <diagonal/>
    </border>
  </borders>
  <cellStyleXfs count="3">
    <xf numFmtId="0" fontId="0" fillId="0" borderId="0"/>
    <xf numFmtId="0" fontId="5" fillId="0" borderId="0"/>
    <xf numFmtId="0" fontId="8" fillId="0" borderId="0"/>
  </cellStyleXfs>
  <cellXfs count="119">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2" borderId="1" xfId="0" applyFill="1" applyBorder="1" applyAlignment="1">
      <alignment horizontal="left" vertical="center"/>
    </xf>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8" borderId="8" xfId="0" applyFill="1" applyBorder="1" applyAlignment="1">
      <alignment horizontal="center" vertical="center"/>
    </xf>
    <xf numFmtId="0" fontId="0" fillId="7" borderId="15" xfId="0" applyFill="1" applyBorder="1" applyAlignment="1">
      <alignment horizontal="center" vertical="center"/>
    </xf>
    <xf numFmtId="0" fontId="0" fillId="7" borderId="13" xfId="0" applyFill="1" applyBorder="1" applyAlignment="1">
      <alignment horizontal="center" vertical="center"/>
    </xf>
    <xf numFmtId="0" fontId="0" fillId="0" borderId="2" xfId="0" applyBorder="1" applyAlignment="1">
      <alignment horizontal="left" vertical="center" wrapText="1"/>
    </xf>
    <xf numFmtId="0" fontId="0" fillId="2" borderId="10" xfId="0" applyFill="1" applyBorder="1" applyAlignment="1">
      <alignment horizontal="left" vertical="center"/>
    </xf>
    <xf numFmtId="0" fontId="6" fillId="0" borderId="2" xfId="0" applyFont="1" applyBorder="1" applyAlignment="1">
      <alignment horizontal="left" vertical="center" wrapText="1"/>
    </xf>
    <xf numFmtId="0" fontId="7" fillId="5" borderId="4" xfId="0" applyFont="1" applyFill="1" applyBorder="1"/>
    <xf numFmtId="0" fontId="0" fillId="7" borderId="15" xfId="0" applyFill="1" applyBorder="1" applyAlignment="1">
      <alignment horizontal="center" vertical="center" wrapText="1"/>
    </xf>
    <xf numFmtId="0" fontId="0" fillId="2" borderId="10" xfId="0" applyFill="1" applyBorder="1" applyAlignment="1">
      <alignment horizontal="left" vertical="center" wrapText="1"/>
    </xf>
    <xf numFmtId="0" fontId="6" fillId="0" borderId="5" xfId="0" applyFont="1" applyBorder="1" applyAlignment="1">
      <alignment horizontal="left" vertical="center" wrapText="1"/>
    </xf>
    <xf numFmtId="0" fontId="0" fillId="8" borderId="9" xfId="0" applyFill="1" applyBorder="1" applyAlignment="1">
      <alignment horizontal="center" vertical="center"/>
    </xf>
    <xf numFmtId="0" fontId="0" fillId="0" borderId="11" xfId="0" applyBorder="1" applyAlignment="1">
      <alignment horizontal="center" vertical="center"/>
    </xf>
    <xf numFmtId="0" fontId="0" fillId="0" borderId="0" xfId="0" applyAlignment="1">
      <alignment vertical="top" wrapText="1"/>
    </xf>
    <xf numFmtId="0" fontId="1" fillId="8" borderId="1" xfId="0" applyFont="1" applyFill="1" applyBorder="1" applyAlignment="1">
      <alignment horizontal="center" vertical="center"/>
    </xf>
    <xf numFmtId="0" fontId="0" fillId="8" borderId="15" xfId="0" applyFill="1" applyBorder="1" applyAlignment="1">
      <alignment horizontal="center" vertical="center"/>
    </xf>
    <xf numFmtId="0" fontId="1" fillId="8" borderId="8" xfId="0" applyFont="1" applyFill="1" applyBorder="1" applyAlignment="1">
      <alignment horizontal="center" vertical="center"/>
    </xf>
    <xf numFmtId="0" fontId="1" fillId="5" borderId="1" xfId="0" applyFont="1" applyFill="1" applyBorder="1"/>
    <xf numFmtId="0" fontId="1" fillId="5" borderId="13" xfId="0" applyFont="1" applyFill="1" applyBorder="1"/>
    <xf numFmtId="0" fontId="1" fillId="8" borderId="2" xfId="0" applyFont="1" applyFill="1" applyBorder="1" applyAlignment="1">
      <alignment horizontal="center" vertical="center"/>
    </xf>
    <xf numFmtId="0" fontId="1" fillId="8" borderId="10" xfId="0" applyFont="1" applyFill="1" applyBorder="1" applyAlignment="1">
      <alignment horizontal="center" vertical="center"/>
    </xf>
    <xf numFmtId="0" fontId="1" fillId="8" borderId="5" xfId="0" applyFont="1" applyFill="1" applyBorder="1" applyAlignment="1">
      <alignment horizontal="center" vertical="center"/>
    </xf>
    <xf numFmtId="0" fontId="0" fillId="0" borderId="2" xfId="0" applyBorder="1" applyAlignment="1">
      <alignment vertical="center" wrapText="1"/>
    </xf>
    <xf numFmtId="0" fontId="0" fillId="0" borderId="5" xfId="0" applyBorder="1" applyAlignment="1">
      <alignment horizontal="left" vertical="center" wrapText="1"/>
    </xf>
    <xf numFmtId="0" fontId="8" fillId="0" borderId="0" xfId="2"/>
    <xf numFmtId="0" fontId="10" fillId="9" borderId="16" xfId="0" applyFont="1" applyFill="1" applyBorder="1" applyAlignment="1">
      <alignment horizontal="justify" vertical="center" wrapText="1"/>
    </xf>
    <xf numFmtId="0" fontId="10" fillId="9" borderId="17" xfId="0" applyFont="1" applyFill="1" applyBorder="1" applyAlignment="1">
      <alignment horizontal="justify" vertical="center" wrapText="1"/>
    </xf>
    <xf numFmtId="0" fontId="11" fillId="11" borderId="20" xfId="0" applyFont="1" applyFill="1" applyBorder="1" applyAlignment="1">
      <alignment horizontal="justify" vertical="center" wrapText="1"/>
    </xf>
    <xf numFmtId="0" fontId="11" fillId="11" borderId="20" xfId="0" applyFont="1" applyFill="1" applyBorder="1" applyAlignment="1">
      <alignment horizontal="center" vertical="center" wrapText="1"/>
    </xf>
    <xf numFmtId="0" fontId="9" fillId="0" borderId="20" xfId="0" applyFont="1" applyBorder="1" applyAlignment="1">
      <alignment horizontal="justify" vertical="center" wrapText="1"/>
    </xf>
    <xf numFmtId="0" fontId="9" fillId="0" borderId="20" xfId="0" applyFont="1" applyBorder="1" applyAlignment="1">
      <alignment horizontal="center" vertical="center" wrapText="1"/>
    </xf>
    <xf numFmtId="0" fontId="5" fillId="0" borderId="0" xfId="1"/>
    <xf numFmtId="0" fontId="12" fillId="0" borderId="18" xfId="0" applyFont="1" applyBorder="1" applyAlignment="1">
      <alignment horizontal="justify" vertical="center" wrapText="1"/>
    </xf>
    <xf numFmtId="0" fontId="13" fillId="11" borderId="18" xfId="0" applyFont="1" applyFill="1" applyBorder="1" applyAlignment="1">
      <alignment horizontal="justify" vertical="center" wrapText="1"/>
    </xf>
    <xf numFmtId="0" fontId="9" fillId="0" borderId="24" xfId="0" applyFont="1" applyBorder="1" applyAlignment="1">
      <alignment horizontal="justify" vertical="center" wrapText="1"/>
    </xf>
    <xf numFmtId="0" fontId="9" fillId="0" borderId="24" xfId="0" applyFont="1" applyBorder="1" applyAlignment="1">
      <alignment horizontal="center" vertical="center" wrapText="1"/>
    </xf>
    <xf numFmtId="0" fontId="9" fillId="11" borderId="20" xfId="0" applyFont="1" applyFill="1" applyBorder="1" applyAlignment="1">
      <alignment horizontal="justify" vertical="center" wrapText="1"/>
    </xf>
    <xf numFmtId="0" fontId="10" fillId="12" borderId="20" xfId="0" applyFont="1" applyFill="1" applyBorder="1" applyAlignment="1">
      <alignment horizontal="justify" vertical="center" wrapText="1"/>
    </xf>
    <xf numFmtId="16" fontId="9" fillId="0" borderId="20" xfId="0" applyNumberFormat="1" applyFont="1" applyBorder="1" applyAlignment="1">
      <alignment horizontal="justify" vertical="center" wrapText="1"/>
    </xf>
    <xf numFmtId="3" fontId="11" fillId="11" borderId="20" xfId="0" applyNumberFormat="1" applyFont="1" applyFill="1" applyBorder="1" applyAlignment="1">
      <alignment horizontal="justify" vertical="center" wrapText="1"/>
    </xf>
    <xf numFmtId="0" fontId="14" fillId="0" borderId="0" xfId="1" applyFont="1"/>
    <xf numFmtId="0" fontId="14" fillId="0" borderId="0" xfId="2" applyFont="1"/>
    <xf numFmtId="0" fontId="11" fillId="11" borderId="24" xfId="0" applyFont="1" applyFill="1" applyBorder="1" applyAlignment="1">
      <alignment horizontal="justify" vertical="center" wrapText="1"/>
    </xf>
    <xf numFmtId="0" fontId="15" fillId="9" borderId="16" xfId="0" applyFont="1" applyFill="1" applyBorder="1" applyAlignment="1">
      <alignment horizontal="justify" vertical="center" wrapText="1"/>
    </xf>
    <xf numFmtId="0" fontId="15" fillId="9" borderId="17" xfId="0" applyFont="1" applyFill="1" applyBorder="1" applyAlignment="1">
      <alignment horizontal="justify" vertical="center" wrapText="1"/>
    </xf>
    <xf numFmtId="0" fontId="17" fillId="11" borderId="18" xfId="0" applyFont="1" applyFill="1" applyBorder="1" applyAlignment="1">
      <alignment horizontal="justify" vertical="center" wrapText="1"/>
    </xf>
    <xf numFmtId="0" fontId="18" fillId="11" borderId="20" xfId="0" applyFont="1" applyFill="1" applyBorder="1" applyAlignment="1">
      <alignment horizontal="justify" vertical="center" wrapText="1"/>
    </xf>
    <xf numFmtId="0" fontId="18" fillId="11" borderId="20" xfId="0" applyFont="1" applyFill="1" applyBorder="1" applyAlignment="1">
      <alignment horizontal="center" vertical="center" wrapText="1"/>
    </xf>
    <xf numFmtId="0" fontId="19" fillId="0" borderId="18" xfId="0" applyFont="1" applyBorder="1" applyAlignment="1">
      <alignment horizontal="justify" vertical="center" wrapText="1"/>
    </xf>
    <xf numFmtId="0" fontId="20" fillId="0" borderId="20" xfId="0" applyFont="1" applyBorder="1" applyAlignment="1">
      <alignment horizontal="justify" vertical="center" wrapText="1"/>
    </xf>
    <xf numFmtId="0" fontId="20" fillId="0" borderId="20" xfId="0" applyFont="1" applyBorder="1" applyAlignment="1">
      <alignment horizontal="center" vertical="center" wrapText="1"/>
    </xf>
    <xf numFmtId="0" fontId="1" fillId="5" borderId="1" xfId="0" applyFont="1" applyFill="1" applyBorder="1" applyAlignment="1">
      <alignment horizontal="left" vertical="center"/>
    </xf>
    <xf numFmtId="0" fontId="0" fillId="2" borderId="1" xfId="0"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5" borderId="1" xfId="0" applyFont="1" applyFill="1" applyBorder="1" applyAlignment="1">
      <alignment horizontal="left" vertical="center" wrapText="1"/>
    </xf>
    <xf numFmtId="0" fontId="0" fillId="2" borderId="1" xfId="0" applyFill="1" applyBorder="1" applyAlignment="1">
      <alignment horizontal="center" vertical="center"/>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6" fillId="10" borderId="21" xfId="0" applyFont="1" applyFill="1" applyBorder="1" applyAlignment="1">
      <alignment horizontal="center" vertical="center" wrapText="1"/>
    </xf>
    <xf numFmtId="0" fontId="16" fillId="10" borderId="22" xfId="0" applyFont="1" applyFill="1" applyBorder="1" applyAlignment="1">
      <alignment horizontal="center" vertical="center" wrapText="1"/>
    </xf>
    <xf numFmtId="0" fontId="16" fillId="10" borderId="17" xfId="0" applyFont="1" applyFill="1" applyBorder="1" applyAlignment="1">
      <alignment horizontal="center" vertical="center" wrapText="1"/>
    </xf>
    <xf numFmtId="0" fontId="9" fillId="0" borderId="25" xfId="0" applyFont="1" applyBorder="1" applyAlignment="1">
      <alignment horizontal="justify" vertical="center" wrapText="1"/>
    </xf>
    <xf numFmtId="0" fontId="9" fillId="0" borderId="18" xfId="0" applyFont="1" applyBorder="1" applyAlignment="1">
      <alignment horizontal="justify" vertical="center" wrapText="1"/>
    </xf>
    <xf numFmtId="0" fontId="12" fillId="0" borderId="25" xfId="0" applyFont="1" applyBorder="1" applyAlignment="1">
      <alignment horizontal="justify" vertical="center" wrapText="1"/>
    </xf>
    <xf numFmtId="0" fontId="12" fillId="0" borderId="18" xfId="0" applyFont="1" applyBorder="1" applyAlignment="1">
      <alignment horizontal="justify" vertical="center" wrapText="1"/>
    </xf>
    <xf numFmtId="0" fontId="9" fillId="0" borderId="25" xfId="0" applyFont="1" applyBorder="1" applyAlignment="1">
      <alignment horizontal="center" vertical="center" wrapText="1"/>
    </xf>
    <xf numFmtId="0" fontId="9" fillId="0" borderId="18" xfId="0" applyFont="1" applyBorder="1" applyAlignment="1">
      <alignment horizontal="center" vertical="center" wrapText="1"/>
    </xf>
    <xf numFmtId="0" fontId="10" fillId="9" borderId="25" xfId="0" applyFont="1" applyFill="1" applyBorder="1" applyAlignment="1">
      <alignment horizontal="justify" vertical="center" wrapText="1"/>
    </xf>
    <xf numFmtId="0" fontId="10" fillId="9" borderId="23" xfId="0" applyFont="1" applyFill="1" applyBorder="1" applyAlignment="1">
      <alignment horizontal="justify" vertical="center" wrapText="1"/>
    </xf>
    <xf numFmtId="0" fontId="10" fillId="9" borderId="18" xfId="0" applyFont="1" applyFill="1" applyBorder="1" applyAlignment="1">
      <alignment horizontal="justify" vertical="center" wrapText="1"/>
    </xf>
    <xf numFmtId="0" fontId="10" fillId="9" borderId="21" xfId="0" applyFont="1" applyFill="1" applyBorder="1" applyAlignment="1">
      <alignment horizontal="justify" vertical="center" wrapText="1"/>
    </xf>
    <xf numFmtId="0" fontId="10" fillId="9" borderId="22" xfId="0" applyFont="1" applyFill="1" applyBorder="1" applyAlignment="1">
      <alignment horizontal="justify" vertical="center" wrapText="1"/>
    </xf>
    <xf numFmtId="0" fontId="10" fillId="9" borderId="17" xfId="0" applyFont="1" applyFill="1" applyBorder="1" applyAlignment="1">
      <alignment horizontal="justify" vertical="center" wrapText="1"/>
    </xf>
    <xf numFmtId="0" fontId="10" fillId="12" borderId="21" xfId="0" applyFont="1" applyFill="1" applyBorder="1" applyAlignment="1">
      <alignment horizontal="justify" vertical="center" wrapText="1"/>
    </xf>
    <xf numFmtId="0" fontId="10" fillId="12" borderId="22" xfId="0" applyFont="1" applyFill="1" applyBorder="1" applyAlignment="1">
      <alignment horizontal="justify" vertical="center" wrapText="1"/>
    </xf>
    <xf numFmtId="0" fontId="10" fillId="12" borderId="17" xfId="0" applyFont="1" applyFill="1" applyBorder="1" applyAlignment="1">
      <alignment horizontal="justify" vertical="center" wrapText="1"/>
    </xf>
    <xf numFmtId="0" fontId="10" fillId="12" borderId="27" xfId="0" applyFont="1" applyFill="1" applyBorder="1" applyAlignment="1">
      <alignment horizontal="justify" vertical="center" wrapText="1"/>
    </xf>
    <xf numFmtId="0" fontId="10" fillId="12" borderId="26" xfId="0" applyFont="1" applyFill="1" applyBorder="1" applyAlignment="1">
      <alignment horizontal="justify" vertical="center" wrapText="1"/>
    </xf>
    <xf numFmtId="0" fontId="10" fillId="12" borderId="19" xfId="0" applyFont="1" applyFill="1" applyBorder="1" applyAlignment="1">
      <alignment horizontal="justify" vertical="center" wrapText="1"/>
    </xf>
    <xf numFmtId="0" fontId="10" fillId="12" borderId="20" xfId="0" applyFont="1" applyFill="1" applyBorder="1" applyAlignment="1">
      <alignment horizontal="justify" vertical="center" wrapText="1"/>
    </xf>
    <xf numFmtId="0" fontId="13" fillId="11" borderId="25" xfId="0" applyFont="1" applyFill="1" applyBorder="1" applyAlignment="1">
      <alignment horizontal="justify" vertical="center" wrapText="1"/>
    </xf>
    <xf numFmtId="0" fontId="13" fillId="11" borderId="18" xfId="0" applyFont="1" applyFill="1" applyBorder="1" applyAlignment="1">
      <alignment horizontal="justify" vertical="center" wrapText="1"/>
    </xf>
    <xf numFmtId="0" fontId="11" fillId="11" borderId="25" xfId="0" applyFont="1" applyFill="1" applyBorder="1" applyAlignment="1">
      <alignment horizontal="justify" vertical="center" wrapText="1"/>
    </xf>
    <xf numFmtId="0" fontId="11" fillId="11" borderId="18" xfId="0" applyFont="1" applyFill="1" applyBorder="1" applyAlignment="1">
      <alignment horizontal="justify" vertical="center" wrapText="1"/>
    </xf>
    <xf numFmtId="0" fontId="13" fillId="11" borderId="23" xfId="0" applyFont="1" applyFill="1" applyBorder="1" applyAlignment="1">
      <alignment horizontal="justify" vertical="center" wrapText="1"/>
    </xf>
    <xf numFmtId="0" fontId="11" fillId="11" borderId="23" xfId="0" applyFont="1" applyFill="1" applyBorder="1" applyAlignment="1">
      <alignment horizontal="justify" vertical="center" wrapText="1"/>
    </xf>
    <xf numFmtId="0" fontId="9" fillId="0" borderId="21"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17" xfId="0" applyFont="1" applyBorder="1" applyAlignment="1">
      <alignment horizontal="justify" vertical="center" wrapText="1"/>
    </xf>
  </cellXfs>
  <cellStyles count="3">
    <cellStyle name="Normal" xfId="0" builtinId="0"/>
    <cellStyle name="Normal 2" xfId="1" xr:uid="{A0590873-068C-4847-B7EE-03E3EBDA6539}"/>
    <cellStyle name="Normal 3" xfId="2" xr:uid="{36039632-B0CE-4AE8-9D31-B206A1D3F0D3}"/>
  </cellStyles>
  <dxfs count="1396">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style="medium">
          <color auto="1"/>
        </left>
        <right style="medium">
          <color auto="1"/>
        </right>
        <top/>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style="medium">
          <color auto="1"/>
        </left>
        <right style="medium">
          <color auto="1"/>
        </right>
        <top/>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style="medium">
          <color auto="1"/>
        </left>
        <right style="medium">
          <color auto="1"/>
        </right>
        <top/>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style="medium">
          <color auto="1"/>
        </left>
        <right style="medium">
          <color auto="1"/>
        </right>
        <top/>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style="medium">
          <color auto="1"/>
        </left>
        <right style="medium">
          <color auto="1"/>
        </right>
        <top/>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style="medium">
          <color auto="1"/>
        </left>
        <right style="medium">
          <color auto="1"/>
        </right>
        <top/>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0" tint="-0.14999847407452621"/>
        </patternFill>
      </fill>
      <alignment horizontal="center" vertical="center" textRotation="0" wrapText="0"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vertical/>
        <horizontal/>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1395"/>
      <tableStyleElement type="firstColumn" dxfId="1394"/>
    </tableStyle>
    <tableStyle name="Table Style 2" pivot="0" count="2" xr9:uid="{00000000-0011-0000-FFFF-FFFF01000000}">
      <tableStyleElement type="wholeTable" dxfId="1393"/>
      <tableStyleElement type="firstColumn" dxfId="1392"/>
    </tableStyle>
    <tableStyle name="Table Style 3" pivot="0" count="4" xr9:uid="{00000000-0011-0000-FFFF-FFFF02000000}">
      <tableStyleElement type="wholeTable" dxfId="1391"/>
      <tableStyleElement type="headerRow" dxfId="1390"/>
      <tableStyleElement type="firstColumn" dxfId="1389"/>
      <tableStyleElement type="secondColumnStripe" dxfId="138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481330</xdr:colOff>
      <xdr:row>3</xdr:row>
      <xdr:rowOff>75015</xdr:rowOff>
    </xdr:from>
    <xdr:to>
      <xdr:col>29</xdr:col>
      <xdr:colOff>254000</xdr:colOff>
      <xdr:row>13</xdr:row>
      <xdr:rowOff>463465</xdr:rowOff>
    </xdr:to>
    <xdr:pic>
      <xdr:nvPicPr>
        <xdr:cNvPr id="2" name="Picture 1" descr="A map of a river&#10;&#10;Description automatically generated">
          <a:extLst>
            <a:ext uri="{FF2B5EF4-FFF2-40B4-BE49-F238E27FC236}">
              <a16:creationId xmlns:a16="http://schemas.microsoft.com/office/drawing/2014/main" id="{E092CE57-4DB5-75E5-36B9-D0F3FEBD8B22}"/>
            </a:ext>
          </a:extLst>
        </xdr:cNvPr>
        <xdr:cNvPicPr>
          <a:picLocks noChangeAspect="1"/>
        </xdr:cNvPicPr>
      </xdr:nvPicPr>
      <xdr:blipFill>
        <a:blip xmlns:r="http://schemas.openxmlformats.org/officeDocument/2006/relationships" r:embed="rId1"/>
        <a:stretch>
          <a:fillRect/>
        </a:stretch>
      </xdr:blipFill>
      <xdr:spPr>
        <a:xfrm>
          <a:off x="12203430" y="1002115"/>
          <a:ext cx="11355070" cy="684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511541</xdr:colOff>
      <xdr:row>3</xdr:row>
      <xdr:rowOff>114300</xdr:rowOff>
    </xdr:from>
    <xdr:to>
      <xdr:col>27</xdr:col>
      <xdr:colOff>452389</xdr:colOff>
      <xdr:row>13</xdr:row>
      <xdr:rowOff>240030</xdr:rowOff>
    </xdr:to>
    <xdr:pic>
      <xdr:nvPicPr>
        <xdr:cNvPr id="2" name="Picture 1">
          <a:extLst>
            <a:ext uri="{FF2B5EF4-FFF2-40B4-BE49-F238E27FC236}">
              <a16:creationId xmlns:a16="http://schemas.microsoft.com/office/drawing/2014/main" id="{D58B779D-F724-914A-44F2-615CAFB1DAD4}"/>
            </a:ext>
          </a:extLst>
        </xdr:cNvPr>
        <xdr:cNvPicPr>
          <a:picLocks noChangeAspect="1"/>
        </xdr:cNvPicPr>
      </xdr:nvPicPr>
      <xdr:blipFill>
        <a:blip xmlns:r="http://schemas.openxmlformats.org/officeDocument/2006/relationships" r:embed="rId1"/>
        <a:stretch>
          <a:fillRect/>
        </a:stretch>
      </xdr:blipFill>
      <xdr:spPr>
        <a:xfrm>
          <a:off x="10595341" y="1320800"/>
          <a:ext cx="12132848" cy="735203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1F14B2EE-E946-4EF8-8E20-456A2B30D6D4}" name="Table217" displayName="Table217" ref="A7:CS9" headerRowCount="0" totalsRowShown="0" headerRowDxfId="1387" headerRowBorderDxfId="1386" tableBorderDxfId="1385" totalsRowBorderDxfId="1384">
  <tableColumns count="97">
    <tableColumn id="1" xr3:uid="{A2E96470-DC47-4FB3-A168-0CCCE6770FE0}" name="Column1" headerRowDxfId="1383" dataDxfId="1382"/>
    <tableColumn id="5" xr3:uid="{072BD5D8-7DDC-4C9A-A876-4B4D201AF3F9}" name="Column5" headerRowDxfId="1381" dataDxfId="1380"/>
    <tableColumn id="6" xr3:uid="{DAB0B29C-8E96-47F2-8599-C27A9092F036}" name="Column6" headerRowDxfId="1379" dataDxfId="1378"/>
    <tableColumn id="7" xr3:uid="{F3461116-68CE-4C62-9619-B3F5251B3ACB}" name="Column7" headerRowDxfId="1377" dataDxfId="1376"/>
    <tableColumn id="8" xr3:uid="{37AAEB23-B8A6-4F2E-9282-79DB5C1798FC}" name="Column8" headerRowDxfId="1375" dataDxfId="1374"/>
    <tableColumn id="9" xr3:uid="{4152037A-13B6-42BF-A69D-B54AA8212EBF}" name="Column9" headerRowDxfId="1373" dataDxfId="1372"/>
    <tableColumn id="10" xr3:uid="{3143ADA6-253B-4C56-BC68-D2EAC4D01E29}" name="Column10" headerRowDxfId="1371" dataDxfId="1370"/>
    <tableColumn id="11" xr3:uid="{5E6BD3BF-0F7F-409E-A75D-1A0BB10942F6}" name="Column11" headerRowDxfId="1369" dataDxfId="1368"/>
    <tableColumn id="12" xr3:uid="{445765A2-30F3-4CAB-B016-48AF91066B42}" name="Column12" headerRowDxfId="1367" dataDxfId="1366"/>
    <tableColumn id="13" xr3:uid="{3D826EEB-AE42-4A69-A5BA-2B0BF84719ED}" name="Column13" headerRowDxfId="1365" dataDxfId="1364"/>
    <tableColumn id="14" xr3:uid="{CF1B0A33-5C87-42F0-9EF9-BF3D4C6B65AF}" name="Column14" headerRowDxfId="1363" dataDxfId="1362"/>
    <tableColumn id="15" xr3:uid="{8E2E2966-782D-42F9-BB19-C71EC1F8B73A}" name="Column15" headerRowDxfId="1361" dataDxfId="1360"/>
    <tableColumn id="16" xr3:uid="{069557AD-4E47-4A43-8241-D5852C640FB2}" name="Column16" headerRowDxfId="1359" dataDxfId="1358"/>
    <tableColumn id="17" xr3:uid="{ED653DC0-6DAB-488B-AC9D-E275A0747A24}" name="Column17" headerRowDxfId="1357" dataDxfId="1356"/>
    <tableColumn id="18" xr3:uid="{0448850F-67BA-4830-8DA0-A16566F7F8A4}" name="Column18" headerRowDxfId="1355" dataDxfId="1354"/>
    <tableColumn id="19" xr3:uid="{59F2A3FB-5331-473D-AF0D-8C14598A8FCB}" name="Column19" headerRowDxfId="1353" dataDxfId="1352"/>
    <tableColumn id="20" xr3:uid="{1C542184-A6E5-4C67-A4E9-B6BE3D812EDD}" name="Column20" headerRowDxfId="1351" dataDxfId="1350"/>
    <tableColumn id="21" xr3:uid="{849AF605-B41B-472A-8919-E6B4B6232194}" name="Column21" headerRowDxfId="1349" dataDxfId="1348"/>
    <tableColumn id="22" xr3:uid="{2C0BA424-F17F-4C22-AEBC-4390997822B6}" name="Column22" headerRowDxfId="1347" dataDxfId="1346"/>
    <tableColumn id="23" xr3:uid="{5703E6CD-50D5-4D2B-AA3D-C066041BA734}" name="Column23" headerRowDxfId="1345" dataDxfId="1344"/>
    <tableColumn id="24" xr3:uid="{FE1BE2A4-77FD-410A-9EA0-A684F36154DB}" name="Column24" headerRowDxfId="1343" dataDxfId="1342"/>
    <tableColumn id="25" xr3:uid="{B5C4AE02-EB46-4593-9F45-14FA6AC46425}" name="Column25" headerRowDxfId="1341" dataDxfId="1340"/>
    <tableColumn id="26" xr3:uid="{435DC75F-EE04-462A-A127-97B5E1C5FCCB}" name="Column26" headerRowDxfId="1339" dataDxfId="1338"/>
    <tableColumn id="27" xr3:uid="{58BA779B-23DA-4555-BA57-4CF3A11CA223}" name="Column27" headerRowDxfId="1337" dataDxfId="1336"/>
    <tableColumn id="28" xr3:uid="{C7C2EC9D-1D88-4594-A595-5A112A9F96D6}" name="Column28" headerRowDxfId="1335" dataDxfId="1334"/>
    <tableColumn id="29" xr3:uid="{20B06DB5-6F3C-4F3B-9544-7BBB38EFD24D}" name="Column29" headerRowDxfId="1333" dataDxfId="1332"/>
    <tableColumn id="30" xr3:uid="{FC595915-1B9C-4641-B002-53DF163A3B3F}" name="Column30" headerRowDxfId="1331" dataDxfId="1330"/>
    <tableColumn id="31" xr3:uid="{7AF9DFD2-979C-41BB-8C99-F8A3FD0A26BA}" name="Column31" headerRowDxfId="1329" dataDxfId="1328"/>
    <tableColumn id="32" xr3:uid="{E22775BA-8DE7-455B-BE76-2CDC696FD255}" name="Column32" headerRowDxfId="1327" dataDxfId="1326"/>
    <tableColumn id="33" xr3:uid="{38E7DF5A-68C7-4085-9547-D399BF5F1612}" name="Column33" headerRowDxfId="1325" dataDxfId="1324"/>
    <tableColumn id="34" xr3:uid="{13704094-12DF-40ED-8839-8FD20DAFE03F}" name="Column34" headerRowDxfId="1323" dataDxfId="1322"/>
    <tableColumn id="35" xr3:uid="{30B7E3D3-730F-4DC6-AD89-999387967F68}" name="Column35" headerRowDxfId="1321" dataDxfId="1320"/>
    <tableColumn id="36" xr3:uid="{D9B70849-4D0C-4B41-B9F0-99E40955712E}" name="Column36" headerRowDxfId="1319" dataDxfId="1318"/>
    <tableColumn id="37" xr3:uid="{2248952F-A62F-4261-9FE7-C0DA98C9C87C}" name="Column37" headerRowDxfId="1317" dataDxfId="1316"/>
    <tableColumn id="38" xr3:uid="{4CE14107-F833-47C7-99F6-A5885420D7A7}" name="Column38" headerRowDxfId="1315" dataDxfId="1314"/>
    <tableColumn id="39" xr3:uid="{77293225-97D5-4576-9115-40370B0BB9CA}" name="Column39" headerRowDxfId="1313" dataDxfId="1312"/>
    <tableColumn id="40" xr3:uid="{4AE0BF23-DA17-44BB-BAEB-DB538D9340B0}" name="Column40" headerRowDxfId="1311" dataDxfId="1310"/>
    <tableColumn id="41" xr3:uid="{5494576E-368E-41B5-AC16-DBEACC3AA4D3}" name="Column41" headerRowDxfId="1309" dataDxfId="1308"/>
    <tableColumn id="42" xr3:uid="{B9081FA6-6886-4A87-B624-5F6E323F0973}" name="Column42" headerRowDxfId="1307" dataDxfId="1306"/>
    <tableColumn id="43" xr3:uid="{82667682-F64C-45D5-B86D-05CF94F2F1B8}" name="Column43" headerRowDxfId="1305" dataDxfId="1304"/>
    <tableColumn id="44" xr3:uid="{C719EDCB-DC3A-4976-B0E3-60FB8F58452D}" name="Column44" headerRowDxfId="1303" dataDxfId="1302"/>
    <tableColumn id="45" xr3:uid="{7FF322C9-76B4-4E36-ADB4-AC455D7A9850}" name="Column45" headerRowDxfId="1301" dataDxfId="1300"/>
    <tableColumn id="46" xr3:uid="{933700F5-61FE-4685-B134-FEC84C733479}" name="Column46" headerRowDxfId="1299" dataDxfId="1298"/>
    <tableColumn id="47" xr3:uid="{C5C8BDB6-67A2-44C3-8691-8783C48C1050}" name="Column47" headerRowDxfId="1297" dataDxfId="1296"/>
    <tableColumn id="48" xr3:uid="{CF07B2E1-A767-436C-B0B7-1BF6EB25586C}" name="Column48" headerRowDxfId="1295" dataDxfId="1294"/>
    <tableColumn id="49" xr3:uid="{795C1730-44C0-43ED-8232-35840F483FF7}" name="Column49" headerRowDxfId="1293" dataDxfId="1292"/>
    <tableColumn id="50" xr3:uid="{13772F1A-9BAF-4489-BCC5-1D1C1F53CD64}" name="Column50" headerRowDxfId="1291" dataDxfId="1290"/>
    <tableColumn id="51" xr3:uid="{43064E19-59EC-4C60-A64C-30759A5442F1}" name="Column51" headerRowDxfId="1289" dataDxfId="1288"/>
    <tableColumn id="52" xr3:uid="{4C69A00E-0109-4097-BA32-99BE5C61C824}" name="Column52" headerRowDxfId="1287" dataDxfId="1286"/>
    <tableColumn id="53" xr3:uid="{68AECA74-5711-43E5-9D34-BD77ABFAA16A}" name="Column53" headerRowDxfId="1285" dataDxfId="1284"/>
    <tableColumn id="54" xr3:uid="{9BA12CEC-0D15-4083-8CB9-F3FBFE81B576}" name="Column54" headerRowDxfId="1283" dataDxfId="1282"/>
    <tableColumn id="55" xr3:uid="{43D726D0-A8AD-49D0-B2C0-0FC83BC9347B}" name="Column55" headerRowDxfId="1281" dataDxfId="1280"/>
    <tableColumn id="56" xr3:uid="{6BF1A057-DB9A-4E67-B5FA-87BD2C04A064}" name="Column56" headerRowDxfId="1279" dataDxfId="1278"/>
    <tableColumn id="57" xr3:uid="{33DE406A-7F95-4A0E-953F-7C9D10D8EA76}" name="Column57" headerRowDxfId="1277" dataDxfId="1276"/>
    <tableColumn id="58" xr3:uid="{DA0CD91E-5806-46B4-909D-7646A1675C62}" name="Column58" headerRowDxfId="1275" dataDxfId="1274"/>
    <tableColumn id="59" xr3:uid="{54F2E281-F260-4A40-99A6-4EA70EDAFA3B}" name="Column59" headerRowDxfId="1273" dataDxfId="1272"/>
    <tableColumn id="60" xr3:uid="{67427C62-FC4B-4EFB-B544-3B14A98D431E}" name="Column60" headerRowDxfId="1271" dataDxfId="1270"/>
    <tableColumn id="61" xr3:uid="{D6759C6F-982D-4F8A-8C8B-83B331C01927}" name="Column61" headerRowDxfId="1269" dataDxfId="1268"/>
    <tableColumn id="62" xr3:uid="{2CA87D40-7F3F-4559-957C-0C8C970552F3}" name="Column62" headerRowDxfId="1267" dataDxfId="1266"/>
    <tableColumn id="63" xr3:uid="{B4C004B0-C891-4B0C-8BAC-99441EFAD5DE}" name="Column63" headerRowDxfId="1265" dataDxfId="1264"/>
    <tableColumn id="64" xr3:uid="{54EAC125-EF70-4F6B-8B18-5CC48439913B}" name="Column64" headerRowDxfId="1263" dataDxfId="1262"/>
    <tableColumn id="65" xr3:uid="{34CFAC9F-1AE5-4C83-A41C-81434BC7EDAA}" name="Column65" headerRowDxfId="1261" dataDxfId="1260"/>
    <tableColumn id="66" xr3:uid="{388318BA-3AEA-433E-80C0-47EEC57833F3}" name="Column66" headerRowDxfId="1259" dataDxfId="1258"/>
    <tableColumn id="67" xr3:uid="{DE635403-C581-4F9A-8A41-2B419FA9010E}" name="Column67" headerRowDxfId="1257" dataDxfId="1256"/>
    <tableColumn id="68" xr3:uid="{ACA06E19-5859-4E94-9699-3D8689305635}" name="Column68" headerRowDxfId="1255" dataDxfId="1254"/>
    <tableColumn id="69" xr3:uid="{BEF45C36-3E66-45CE-8C65-E7B00ABADFA1}" name="Column69" headerRowDxfId="1253" dataDxfId="1252"/>
    <tableColumn id="70" xr3:uid="{3D16424F-9CDB-4E0F-856F-C50F8783832D}" name="Column70" headerRowDxfId="1251" dataDxfId="1250"/>
    <tableColumn id="71" xr3:uid="{14638DA7-FDE3-479E-93DF-4665A03423C6}" name="Column71" headerRowDxfId="1249" dataDxfId="1248"/>
    <tableColumn id="72" xr3:uid="{7DA51B20-9CD1-4CE1-9C32-11FAA65A7AB9}" name="Column72" headerRowDxfId="1247" dataDxfId="1246"/>
    <tableColumn id="73" xr3:uid="{A5F230CD-F127-4511-810B-C88A0E7BE67E}" name="Column73" headerRowDxfId="1245" dataDxfId="1244"/>
    <tableColumn id="74" xr3:uid="{B0BE198E-6904-4960-A32D-9868174E2408}" name="Column74" headerRowDxfId="1243" dataDxfId="1242"/>
    <tableColumn id="75" xr3:uid="{FB2171F3-6201-4B03-98FF-E40858D66C87}" name="Column75" headerRowDxfId="1241" dataDxfId="1240"/>
    <tableColumn id="76" xr3:uid="{5D0F51B7-E85F-43BD-9044-97C1848A56AD}" name="Column76" headerRowDxfId="1239" dataDxfId="1238"/>
    <tableColumn id="77" xr3:uid="{ADAD30E1-0035-44F5-BA09-7AD872CAC39E}" name="Column77" headerRowDxfId="1237" dataDxfId="1236"/>
    <tableColumn id="78" xr3:uid="{4CC5026D-5470-4E18-B885-31A67B49FD0F}" name="Column78" headerRowDxfId="1235" dataDxfId="1234"/>
    <tableColumn id="79" xr3:uid="{03CE503E-0EE6-4D2A-A9E8-7C4E9AC5D49F}" name="Column79" headerRowDxfId="1233" dataDxfId="1232"/>
    <tableColumn id="80" xr3:uid="{00FB9B13-AA72-4B1E-B8CD-2B30BF34D50A}" name="Column80" headerRowDxfId="1231" dataDxfId="1230"/>
    <tableColumn id="81" xr3:uid="{3F24AF5B-869C-4ED5-AF66-981F8110C1E4}" name="Column81" headerRowDxfId="1229" dataDxfId="1228"/>
    <tableColumn id="82" xr3:uid="{B99EE3E1-11E1-4C44-A517-39B4EE17C6E1}" name="Column82" headerRowDxfId="1227" dataDxfId="1226"/>
    <tableColumn id="83" xr3:uid="{021466B8-42E6-48BF-A661-6C588B9D8018}" name="Column83" headerRowDxfId="1225" dataDxfId="1224"/>
    <tableColumn id="84" xr3:uid="{4922AD00-D7B0-486A-A289-AF8F824AD842}" name="Column84" headerRowDxfId="1223" dataDxfId="1222"/>
    <tableColumn id="85" xr3:uid="{A300308A-6F6E-4B75-A9C1-83DE68903027}" name="Column85" headerRowDxfId="1221" dataDxfId="1220"/>
    <tableColumn id="87" xr3:uid="{B65CC1DA-9E8C-4E33-96DC-FF737EBD23B3}" name="Column87" headerRowDxfId="1219" dataDxfId="1218"/>
    <tableColumn id="88" xr3:uid="{CF9BE1CF-F847-4FDE-ADA4-86B37FC6107E}" name="Column88" headerRowDxfId="1217" dataDxfId="1216"/>
    <tableColumn id="2" xr3:uid="{51B3D7F0-F46A-408F-9FB9-9C7B15E228C4}" name="Column2" headerRowDxfId="1215" dataDxfId="1214"/>
    <tableColumn id="3" xr3:uid="{16397611-E410-41F8-9B1E-179F0BD0F10F}" name="Column3" headerRowDxfId="1213" dataDxfId="1212"/>
    <tableColumn id="4" xr3:uid="{0D60DC43-A35C-43D5-9BCE-89E33170B3FC}" name="Column4" headerRowDxfId="1211" dataDxfId="1210"/>
    <tableColumn id="86" xr3:uid="{950F6891-E2DD-4DE6-803B-97C4CCAD02FA}" name="Column86" headerRowDxfId="1209" dataDxfId="1208"/>
    <tableColumn id="89" xr3:uid="{D61B72F1-C089-4DC6-9A58-48C5604316A2}" name="Column89" headerRowDxfId="1207" dataDxfId="1206"/>
    <tableColumn id="90" xr3:uid="{FB1F5585-91EC-4652-A95A-7B155D92A600}" name="Column90" headerRowDxfId="1205" dataDxfId="1204"/>
    <tableColumn id="91" xr3:uid="{B527C0E7-6967-4BFC-B12A-96CBD69387F7}" name="Column91" headerRowDxfId="1203" dataDxfId="1202"/>
    <tableColumn id="92" xr3:uid="{59ED380C-3A80-4B4B-AE8B-1EF5894EC778}" name="Column92" headerRowDxfId="1201" dataDxfId="1200"/>
    <tableColumn id="93" xr3:uid="{D5177263-AEC5-44D8-89EA-B471BBBBE481}" name="Column93" headerRowDxfId="1199" dataDxfId="1198"/>
    <tableColumn id="94" xr3:uid="{58D6FC3F-9F4F-4D03-8746-917C0D09C0AD}" name="Column94" headerRowDxfId="1197" dataDxfId="1196"/>
    <tableColumn id="95" xr3:uid="{D27C155C-BFDC-41BC-B9FC-BB7AE88434E1}" name="Column95" headerRowDxfId="1195" dataDxfId="1194"/>
    <tableColumn id="96" xr3:uid="{3499C265-C15A-4929-8E2A-6892A1650270}" name="Column96" headerRowDxfId="1193" dataDxfId="1192"/>
    <tableColumn id="97" xr3:uid="{F1A00754-8DD0-4EC3-9887-12D90BC8C665}" name="Column97" headerRowDxfId="1191" dataDxfId="1190"/>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509B36C-6CE2-4D29-BACD-645625AF2607}" name="Table357" displayName="Table357" ref="A11:K13" headerRowCount="0" totalsRowShown="0" headerRowDxfId="425" headerRowBorderDxfId="424" tableBorderDxfId="423" totalsRowBorderDxfId="422">
  <tableColumns count="11">
    <tableColumn id="1" xr3:uid="{EAA18B0A-3EEF-4A32-94ED-DFC348F20C78}" name="Column1" headerRowDxfId="421" dataDxfId="420"/>
    <tableColumn id="2" xr3:uid="{5A2A46E9-FCBA-4BE3-8410-D3C883412584}" name="Column2" headerRowDxfId="419" dataDxfId="418"/>
    <tableColumn id="3" xr3:uid="{28E3BE27-6043-4D14-BFED-DB218EA21F39}" name="Column3" headerRowDxfId="417" dataDxfId="416"/>
    <tableColumn id="4" xr3:uid="{3A68DF81-E55C-4289-A575-A10D56F3B4E6}" name="Column4" headerRowDxfId="415" dataDxfId="414"/>
    <tableColumn id="5" xr3:uid="{7B6DBD8A-EAD5-452C-AAAD-CCFCA4EF5947}" name="Column5" headerRowDxfId="413" dataDxfId="412"/>
    <tableColumn id="6" xr3:uid="{BCA5562F-7FFF-4D67-9B04-45647CC46253}" name="Column6" headerRowDxfId="411" dataDxfId="410"/>
    <tableColumn id="7" xr3:uid="{3EA46851-A52C-4A2F-8C13-1D2848C7070D}" name="Column7" headerRowDxfId="409" dataDxfId="408"/>
    <tableColumn id="8" xr3:uid="{12EE4CB0-37CD-4BD3-8FB0-F7BC935065A7}" name="Column8" headerRowDxfId="407" dataDxfId="406"/>
    <tableColumn id="9" xr3:uid="{6C9528CC-25B7-4B8D-8ABE-3AF1A10EB14B}" name="Column9" headerRowDxfId="405" dataDxfId="404"/>
    <tableColumn id="10" xr3:uid="{FB4CFB87-01EF-4459-AF76-2E9B59FE58AF}" name="Column10" headerRowDxfId="403" dataDxfId="402"/>
    <tableColumn id="11" xr3:uid="{02B729E9-DEB7-499C-BD5C-685CBF9B0F1E}" name="Column11" headerRowDxfId="401" dataDxfId="400"/>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D6B7565-AB5D-467B-B599-D1894999F65E}" name="Table226810" displayName="Table226810" ref="A7:K9" headerRowCount="0" totalsRowShown="0" headerRowDxfId="399" headerRowBorderDxfId="398" tableBorderDxfId="397" totalsRowBorderDxfId="396">
  <tableColumns count="11">
    <tableColumn id="1" xr3:uid="{EF912580-536A-4638-AD81-56B1AEBC654B}" name="Column1" headerRowDxfId="395" dataDxfId="394"/>
    <tableColumn id="2" xr3:uid="{A3E849A7-B526-4515-BCA4-FC665E4381D0}" name="Column2" headerRowDxfId="393" dataDxfId="392"/>
    <tableColumn id="3" xr3:uid="{6E40A992-1B1D-4B9B-9AE9-8E17FD724DE5}" name="Column3" headerRowDxfId="391" dataDxfId="390"/>
    <tableColumn id="4" xr3:uid="{CEC6FC04-64AE-4857-BBB4-365DC81A5FC8}" name="Column4" headerRowDxfId="389" dataDxfId="388"/>
    <tableColumn id="5" xr3:uid="{62409029-44B6-429E-9EFF-4425A7CA689F}" name="Column5" headerRowDxfId="387" dataDxfId="386"/>
    <tableColumn id="6" xr3:uid="{5D765325-76C2-40EA-AB7F-735AE599904D}" name="Column6" headerRowDxfId="385" dataDxfId="384"/>
    <tableColumn id="7" xr3:uid="{9177FC43-F7C8-4479-BAE5-7393EEDF6A5B}" name="Column7" headerRowDxfId="383" dataDxfId="382"/>
    <tableColumn id="8" xr3:uid="{A4B7D82A-EC23-4EA9-B0C8-A1DDC07ECDE4}" name="Column8" headerRowDxfId="381" dataDxfId="380"/>
    <tableColumn id="9" xr3:uid="{E852AB3E-81DD-4C96-AED8-5FD1F4A1258A}" name="Column9" headerRowDxfId="379" dataDxfId="378"/>
    <tableColumn id="10" xr3:uid="{F36D705D-4FCD-4C96-A67E-145BBED0C9E1}" name="Column10" headerRowDxfId="377" dataDxfId="376"/>
    <tableColumn id="11" xr3:uid="{ACCDAC2F-EBD6-41C4-A047-F93B9FBDA87E}" name="Column11" headerRowDxfId="375" dataDxfId="374"/>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19A3AA5-F2D1-4364-9D73-95BDF76B567D}" name="Table357911" displayName="Table357911" ref="A12:K12" headerRowCount="0" totalsRowShown="0" headerRowDxfId="373" headerRowBorderDxfId="372" tableBorderDxfId="371" totalsRowBorderDxfId="370">
  <tableColumns count="11">
    <tableColumn id="1" xr3:uid="{E3DB0019-07DD-403E-92EF-0B8CDE306930}" name="Column1" headerRowDxfId="369" dataDxfId="368"/>
    <tableColumn id="2" xr3:uid="{7EF3C327-48A3-4823-86A2-A62B33DF2F02}" name="Column2" headerRowDxfId="367" dataDxfId="366"/>
    <tableColumn id="3" xr3:uid="{AD4A0D45-7E32-4AD0-8FAE-69691F43E79E}" name="Column3" headerRowDxfId="365" dataDxfId="364"/>
    <tableColumn id="4" xr3:uid="{C714008B-6AB7-446E-BB4E-E4303FA71454}" name="Column4" headerRowDxfId="363" dataDxfId="362"/>
    <tableColumn id="5" xr3:uid="{3D8B773D-9AF3-46AC-836C-1D0366E29D10}" name="Column5" headerRowDxfId="361" dataDxfId="360"/>
    <tableColumn id="6" xr3:uid="{23636A1B-E724-46FB-9C9E-32DD8EDF49AD}" name="Column6" headerRowDxfId="359" dataDxfId="358"/>
    <tableColumn id="7" xr3:uid="{195BA84C-79C9-4890-ABA3-B18CDB941BC3}" name="Column7" headerRowDxfId="357" dataDxfId="356"/>
    <tableColumn id="8" xr3:uid="{C6FC1AEF-C1F8-47AB-A985-330B589DDDA6}" name="Column8" headerRowDxfId="355" dataDxfId="354"/>
    <tableColumn id="9" xr3:uid="{3F2861F0-4D26-40FF-ABA0-6585649AEF2D}" name="Column9" headerRowDxfId="353" dataDxfId="352"/>
    <tableColumn id="10" xr3:uid="{EF397228-D422-44B3-84C1-A086CE544BD6}" name="Column10" headerRowDxfId="351" dataDxfId="350"/>
    <tableColumn id="11" xr3:uid="{E43FB6C0-B937-4D3C-B6E5-12A10BEA1FC5}" name="Column11" headerRowDxfId="349" dataDxfId="348"/>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07197FD-7DD8-4DCA-B2B1-7C4427983D07}" name="Table22681014" displayName="Table22681014" ref="A7:BU9" headerRowCount="0" totalsRowShown="0" headerRowDxfId="347" headerRowBorderDxfId="346" tableBorderDxfId="345" totalsRowBorderDxfId="344">
  <tableColumns count="73">
    <tableColumn id="1" xr3:uid="{0E591A7C-322F-4AC3-B695-C36432491C13}" name="Column1" headerRowDxfId="343" dataDxfId="342"/>
    <tableColumn id="2" xr3:uid="{8463A94B-44FB-456E-87C1-4E81656C3460}" name="Column2" headerRowDxfId="341" dataDxfId="340"/>
    <tableColumn id="3" xr3:uid="{3A90F3CB-8D8D-4085-8C4F-C37AF410114C}" name="Column3" headerRowDxfId="339" dataDxfId="338"/>
    <tableColumn id="4" xr3:uid="{260432FA-A70B-4D23-8B72-74B5F86E4D6D}" name="Column4" headerRowDxfId="337" dataDxfId="336"/>
    <tableColumn id="5" xr3:uid="{764F43D3-DB20-4D50-A47B-CADF1E26BF5C}" name="Column5" headerRowDxfId="335" dataDxfId="334"/>
    <tableColumn id="6" xr3:uid="{28091EEB-B167-44A8-8510-D7B35E8C2E8F}" name="Column6" headerRowDxfId="333" dataDxfId="332"/>
    <tableColumn id="7" xr3:uid="{D1E0799B-6244-4586-AC44-01CC843375B4}" name="Column7" headerRowDxfId="331" dataDxfId="330"/>
    <tableColumn id="8" xr3:uid="{7FC4DED3-D5CB-4D32-A713-8393315036A5}" name="Column8" headerRowDxfId="329" dataDxfId="328"/>
    <tableColumn id="9" xr3:uid="{3318576C-023C-4073-8B5E-A73891CBA8F9}" name="Column9" headerRowDxfId="327" dataDxfId="326"/>
    <tableColumn id="10" xr3:uid="{23E9012C-2D04-4484-A6E9-538380344A36}" name="Column10" headerRowDxfId="325" dataDxfId="324"/>
    <tableColumn id="11" xr3:uid="{E2A8DC1C-55CA-4DE5-B6F2-A3AEF650FB68}" name="Column11" headerRowDxfId="323" dataDxfId="322"/>
    <tableColumn id="12" xr3:uid="{9EC14EDF-98F0-41D9-A157-81EB74C7556B}" name="Column12" headerRowDxfId="321" dataDxfId="320"/>
    <tableColumn id="13" xr3:uid="{F76843D2-F262-494F-925C-AEE11216FBEA}" name="Column13" headerRowDxfId="319" dataDxfId="318"/>
    <tableColumn id="14" xr3:uid="{08F764A8-6439-44FA-AD97-4A68D9BC1816}" name="Column14" headerRowDxfId="317" dataDxfId="316"/>
    <tableColumn id="15" xr3:uid="{4D544BF6-EBA5-4265-882A-6498CAA72BF5}" name="Column15" headerRowDxfId="315" dataDxfId="314"/>
    <tableColumn id="16" xr3:uid="{E44CE240-4457-4EC3-990E-E9156B0D22A5}" name="Column16" headerRowDxfId="313" dataDxfId="312"/>
    <tableColumn id="17" xr3:uid="{783E341A-3E44-4491-8DAD-0C3E5A000F0B}" name="Column17" headerRowDxfId="311" dataDxfId="310"/>
    <tableColumn id="18" xr3:uid="{7A6D5476-E01B-4C0C-9B74-0C8F60FFEA80}" name="Column18" headerRowDxfId="309" dataDxfId="308"/>
    <tableColumn id="19" xr3:uid="{41E35222-840A-4929-817D-CF7746410225}" name="Column19" headerRowDxfId="307" dataDxfId="306"/>
    <tableColumn id="20" xr3:uid="{36389D38-5012-4766-A1E6-7D18FD9DC83A}" name="Column20" headerRowDxfId="305" dataDxfId="304"/>
    <tableColumn id="21" xr3:uid="{FE50B1D1-E8E7-4C31-9DFF-91AE1200EF9F}" name="Column21" headerRowDxfId="303" dataDxfId="302"/>
    <tableColumn id="22" xr3:uid="{45EB7C4E-6AF4-4FCB-AEE7-1EAF0935A111}" name="Column22" headerRowDxfId="301" dataDxfId="300"/>
    <tableColumn id="23" xr3:uid="{9BDAD904-316B-409E-98CE-EA473749A4ED}" name="Column23" headerRowDxfId="299" dataDxfId="298"/>
    <tableColumn id="24" xr3:uid="{C4A2BF40-1928-40A1-8131-C82B8BF314A7}" name="Column24" headerRowDxfId="297" dataDxfId="296"/>
    <tableColumn id="25" xr3:uid="{90F5B431-A1A4-4EE4-ACE6-AAA835E89388}" name="Column25" headerRowDxfId="295" dataDxfId="294"/>
    <tableColumn id="26" xr3:uid="{63D953FB-6640-4E01-B5C1-75B0D66EEBF9}" name="Column26" headerRowDxfId="293" dataDxfId="292"/>
    <tableColumn id="27" xr3:uid="{EB3138D8-5B58-439D-8DB7-B7743A37AC0C}" name="Column27" headerRowDxfId="291" dataDxfId="290"/>
    <tableColumn id="28" xr3:uid="{D52B981E-0A7C-434A-B0D3-16F222F25C9C}" name="Column28" headerRowDxfId="289" dataDxfId="288"/>
    <tableColumn id="29" xr3:uid="{A94DCDE1-C94F-4843-B84D-08C3A75082AC}" name="Column29" headerRowDxfId="287" dataDxfId="286"/>
    <tableColumn id="30" xr3:uid="{BD83A723-1ADE-4844-BD81-5B5F7CB5FA61}" name="Column30" headerRowDxfId="285" dataDxfId="284"/>
    <tableColumn id="31" xr3:uid="{2D0BE575-2590-47B3-BB9C-C2E03FDCC2E0}" name="Column31" headerRowDxfId="283" dataDxfId="282"/>
    <tableColumn id="32" xr3:uid="{8C002E3E-1421-4F5E-A036-E2198C189827}" name="Column32" headerRowDxfId="281" dataDxfId="280"/>
    <tableColumn id="33" xr3:uid="{6363C6A4-7FD8-4DEA-9E3B-E8EA4D67AE1D}" name="Column33" headerRowDxfId="279" dataDxfId="278"/>
    <tableColumn id="34" xr3:uid="{A4C7CFC3-1FFA-4764-93F3-E047837569AB}" name="Column34" headerRowDxfId="277" dataDxfId="276"/>
    <tableColumn id="35" xr3:uid="{3B6C46E9-9171-44C1-965C-823CC5F5A3D2}" name="Column35" headerRowDxfId="275" dataDxfId="274"/>
    <tableColumn id="36" xr3:uid="{4555D8B3-E6A9-4B04-A231-3DE7CC681487}" name="Column36" headerRowDxfId="273" dataDxfId="272"/>
    <tableColumn id="37" xr3:uid="{D23EC827-60C7-43D0-8EC3-84A0CF2C425B}" name="Column37" headerRowDxfId="271" dataDxfId="270"/>
    <tableColumn id="38" xr3:uid="{2588DC1D-FB08-4728-9E73-E27ACD16C512}" name="Column38" headerRowDxfId="269" dataDxfId="268"/>
    <tableColumn id="39" xr3:uid="{1699D5EF-5BBD-4A8A-8366-EF97508C7934}" name="Column39" headerRowDxfId="267" dataDxfId="266"/>
    <tableColumn id="40" xr3:uid="{41D0EE30-A9C7-4567-B6FC-DA22998AB750}" name="Column40" headerRowDxfId="265" dataDxfId="264"/>
    <tableColumn id="41" xr3:uid="{3654ACC0-14AE-4D67-A6B4-4D2BFD61CF55}" name="Column41" headerRowDxfId="263" dataDxfId="262"/>
    <tableColumn id="42" xr3:uid="{5FFC22F5-D0A3-4128-9CD0-867846FCA17A}" name="Column42" headerRowDxfId="261" dataDxfId="260"/>
    <tableColumn id="43" xr3:uid="{5C91EFB3-6E3C-4227-A8F4-F27880D11DC4}" name="Column43" headerRowDxfId="259" dataDxfId="258"/>
    <tableColumn id="44" xr3:uid="{DB2B4523-60B2-4823-98ED-FE0FEF24BA76}" name="Column44" headerRowDxfId="257" dataDxfId="256"/>
    <tableColumn id="45" xr3:uid="{A21EAE87-F8F3-4FB1-A8BC-541FC0D8598D}" name="Column45" headerRowDxfId="255" dataDxfId="254"/>
    <tableColumn id="46" xr3:uid="{835B85F7-A734-4CC3-9060-154C812181D9}" name="Column46" headerRowDxfId="253" dataDxfId="252"/>
    <tableColumn id="47" xr3:uid="{59AB3F11-5D67-4963-8B37-8075CBC31A34}" name="Column47" headerRowDxfId="251" dataDxfId="250"/>
    <tableColumn id="48" xr3:uid="{0DE315B0-690F-4AE4-99E5-9B3821960389}" name="Column48" headerRowDxfId="249" dataDxfId="248"/>
    <tableColumn id="49" xr3:uid="{8C122A98-75C9-4A9C-AADD-DEE1ACDA13F0}" name="Column49" headerRowDxfId="247" dataDxfId="246"/>
    <tableColumn id="50" xr3:uid="{791D42B2-2DDE-40BC-90C2-F9D01A41BEE3}" name="Column50" headerRowDxfId="245" dataDxfId="244"/>
    <tableColumn id="51" xr3:uid="{EA1B1AF6-A683-49E0-93F3-2D74D2AD7A9A}" name="Column51" headerRowDxfId="243" dataDxfId="242"/>
    <tableColumn id="52" xr3:uid="{220B3979-FE9E-41BB-98BB-842C31786146}" name="Column52" headerRowDxfId="241" dataDxfId="240"/>
    <tableColumn id="53" xr3:uid="{AB6FF819-975D-41BA-AE18-4779BEC2E85F}" name="Column53" headerRowDxfId="239" dataDxfId="238"/>
    <tableColumn id="54" xr3:uid="{E84372CB-3237-433D-A300-577EC742CA61}" name="Column54" headerRowDxfId="237" dataDxfId="236"/>
    <tableColumn id="55" xr3:uid="{64CB0306-448A-4619-A1FB-F8234A90AF89}" name="Column55" headerRowDxfId="235" dataDxfId="234"/>
    <tableColumn id="56" xr3:uid="{EA646AC9-F7F1-42A1-8EF2-6BD8899E93D0}" name="Column56" headerRowDxfId="233" dataDxfId="232"/>
    <tableColumn id="57" xr3:uid="{9FE5774D-65A3-4BBF-8CB3-DF54019FA9CC}" name="Column57" headerRowDxfId="231" dataDxfId="230"/>
    <tableColumn id="58" xr3:uid="{A1345A58-6A47-429C-8A1C-3FCA6ABA2ED5}" name="Column58" headerRowDxfId="229" dataDxfId="228"/>
    <tableColumn id="59" xr3:uid="{04FA80E8-D181-4C7D-BFD8-3C528835F08D}" name="Column59" headerRowDxfId="227" dataDxfId="226"/>
    <tableColumn id="60" xr3:uid="{F498DCDA-0EC6-45B9-AF7A-8663B4248A3D}" name="Column60" headerRowDxfId="225" dataDxfId="224"/>
    <tableColumn id="61" xr3:uid="{6CD19A66-3538-45B1-9ADE-8C3CF8D40009}" name="Column61" headerRowDxfId="223" dataDxfId="222"/>
    <tableColumn id="62" xr3:uid="{9DD81B8B-B2E7-49C1-90D4-A8F31DD54240}" name="Column62" headerRowDxfId="221" dataDxfId="220"/>
    <tableColumn id="63" xr3:uid="{882CD89B-2F97-40F9-86CD-E165F9A6AB30}" name="Column63" headerRowDxfId="219" dataDxfId="218"/>
    <tableColumn id="64" xr3:uid="{8C9A118B-3700-4201-B01C-D926D6B71FD9}" name="Column64" headerRowDxfId="217" dataDxfId="216"/>
    <tableColumn id="65" xr3:uid="{576718C5-E8CF-41C0-84DD-1A80F94786B0}" name="Column65" headerRowDxfId="215" dataDxfId="214"/>
    <tableColumn id="66" xr3:uid="{6E5060A2-4AB3-4D71-91B0-E419798B74F2}" name="Column66" headerRowDxfId="213" dataDxfId="212"/>
    <tableColumn id="67" xr3:uid="{1B347C5F-5A95-4E8C-B660-FD883D937245}" name="Column67" headerRowDxfId="211" dataDxfId="210"/>
    <tableColumn id="68" xr3:uid="{6D5DCD86-B188-498F-867F-19580452DCA4}" name="Column68" headerRowDxfId="209" dataDxfId="208"/>
    <tableColumn id="69" xr3:uid="{AD830082-A6DA-41C2-8DEA-A490222AB976}" name="Column69" headerRowDxfId="207" dataDxfId="206"/>
    <tableColumn id="70" xr3:uid="{86086B09-9221-4779-BDEB-77D2AEE87ACC}" name="Column70" headerRowDxfId="205" dataDxfId="204"/>
    <tableColumn id="71" xr3:uid="{8A9EC10C-F2E3-436E-B0D6-FCE426F4A21E}" name="Column71" headerRowDxfId="203" dataDxfId="202"/>
    <tableColumn id="72" xr3:uid="{CBAD70A0-62F4-4D35-B89D-3DC1492FDBE9}" name="Column72" headerRowDxfId="201" dataDxfId="200"/>
    <tableColumn id="73" xr3:uid="{57A7BC17-2C87-4866-91CA-45B88F2E77CE}" name="Column73" headerRowDxfId="199" dataDxfId="198"/>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A2A038F-0E28-4891-B0E9-5ABC4E99F8F5}" name="Table35791116" displayName="Table35791116" ref="A11:BU15" headerRowCount="0" totalsRowShown="0" headerRowDxfId="197" headerRowBorderDxfId="196" tableBorderDxfId="195" totalsRowBorderDxfId="194">
  <tableColumns count="73">
    <tableColumn id="1" xr3:uid="{9FFDADF4-F7B8-46FE-BF83-E80843769BF9}" name="Column1" headerRowDxfId="193" dataDxfId="192"/>
    <tableColumn id="2" xr3:uid="{82C508AC-FECA-4942-9B61-0F65BE2EB46B}" name="Column2" headerRowDxfId="191" dataDxfId="190"/>
    <tableColumn id="3" xr3:uid="{09A9D960-3245-480D-86DD-D4367CFD2132}" name="Column3" headerRowDxfId="189" dataDxfId="188"/>
    <tableColumn id="4" xr3:uid="{D8E5D4B6-0020-4B5C-8383-55A6354C7856}" name="Column4" headerRowDxfId="187" dataDxfId="186"/>
    <tableColumn id="5" xr3:uid="{E454F034-D49F-412B-9298-8C3886F6865C}" name="Column5" headerRowDxfId="185" dataDxfId="184"/>
    <tableColumn id="6" xr3:uid="{292FC97E-2F77-4499-8C63-A918024FFF37}" name="Column6" headerRowDxfId="183" dataDxfId="182"/>
    <tableColumn id="7" xr3:uid="{5AA8F63F-821C-4888-8098-DCE43534733D}" name="Column7" headerRowDxfId="181" dataDxfId="180"/>
    <tableColumn id="8" xr3:uid="{5686E640-6AAF-4087-8D00-576DF9F5DAFD}" name="Column8" headerRowDxfId="179" dataDxfId="178"/>
    <tableColumn id="9" xr3:uid="{95C7D319-2268-4420-BD67-54D042F4D88C}" name="Column9" headerRowDxfId="177" dataDxfId="176"/>
    <tableColumn id="10" xr3:uid="{7585EBD0-3329-45F6-A8EA-4F72CF8C8BF3}" name="Column10" headerRowDxfId="175" dataDxfId="174"/>
    <tableColumn id="11" xr3:uid="{FDAA12D0-34C1-4792-9162-DB5A092A6ABA}" name="Column11" headerRowDxfId="173" dataDxfId="172"/>
    <tableColumn id="12" xr3:uid="{650019F2-49E3-4897-9391-D888E08C19F6}" name="Column12" headerRowDxfId="171" dataDxfId="170"/>
    <tableColumn id="13" xr3:uid="{45756537-90F6-4DE3-ADB4-C876E822CB4A}" name="Column13" headerRowDxfId="169" dataDxfId="168"/>
    <tableColumn id="14" xr3:uid="{C8F29903-F23C-4458-8261-E97C341838C1}" name="Column14" headerRowDxfId="167" dataDxfId="166"/>
    <tableColumn id="15" xr3:uid="{84E80486-AEDE-4A3A-9FA8-E97000950D16}" name="Column15" headerRowDxfId="165" dataDxfId="164"/>
    <tableColumn id="16" xr3:uid="{AE07E9F8-A117-43D6-8F24-B104064D31C8}" name="Column16" headerRowDxfId="163" dataDxfId="162"/>
    <tableColumn id="17" xr3:uid="{A5FBD963-802D-489D-B055-28F6A36A2DC8}" name="Column17" headerRowDxfId="161" dataDxfId="160"/>
    <tableColumn id="18" xr3:uid="{8886C2FF-AEF0-4334-86D0-B4395FA13C09}" name="Column18" headerRowDxfId="159" dataDxfId="158"/>
    <tableColumn id="19" xr3:uid="{9AF3B17B-9092-4888-B3AB-11C4F47C0AF1}" name="Column19" headerRowDxfId="157" dataDxfId="156"/>
    <tableColumn id="20" xr3:uid="{626BCCDE-6C43-43DC-9680-4BEB2B7C6C91}" name="Column20" headerRowDxfId="155" dataDxfId="154"/>
    <tableColumn id="21" xr3:uid="{252E11E0-420F-4688-921C-498F832B523A}" name="Column21" headerRowDxfId="153" dataDxfId="152"/>
    <tableColumn id="22" xr3:uid="{3F7D46BB-6F34-4161-88A5-799C951E695B}" name="Column22" headerRowDxfId="151" dataDxfId="150"/>
    <tableColumn id="23" xr3:uid="{F29356B4-EF14-4073-920E-ADF535D3DDDD}" name="Column23" headerRowDxfId="149" dataDxfId="148"/>
    <tableColumn id="24" xr3:uid="{38B357FB-E592-4593-8770-7B1D14B8BB55}" name="Column24" headerRowDxfId="147" dataDxfId="146"/>
    <tableColumn id="25" xr3:uid="{8FD6B8E8-9681-4BF1-ACCC-B7587467350B}" name="Column25" headerRowDxfId="145" dataDxfId="144"/>
    <tableColumn id="26" xr3:uid="{4700AF5D-172C-4AC3-A58D-D2E14BAD0BF5}" name="Column26" headerRowDxfId="143" dataDxfId="142"/>
    <tableColumn id="27" xr3:uid="{D37CAF5E-491C-4F6A-A7A0-061F92E21E60}" name="Column27" headerRowDxfId="141" dataDxfId="140"/>
    <tableColumn id="28" xr3:uid="{900D77FE-F1E0-4032-9BB4-7519925C724D}" name="Column28" headerRowDxfId="139" dataDxfId="138"/>
    <tableColumn id="29" xr3:uid="{8EDD9F47-447F-4F2E-A566-D4E4F66F02D5}" name="Column29" headerRowDxfId="137" dataDxfId="136"/>
    <tableColumn id="30" xr3:uid="{F96F8EE5-416B-45AA-8A79-92BD26892AAC}" name="Column30" headerRowDxfId="135" dataDxfId="134"/>
    <tableColumn id="31" xr3:uid="{D72A9CE4-7AA6-42DA-81EA-B79438B040A2}" name="Column31" headerRowDxfId="133" dataDxfId="132"/>
    <tableColumn id="32" xr3:uid="{0426BF0E-2971-460D-AEFC-479FABD196BA}" name="Column32" headerRowDxfId="131" dataDxfId="130"/>
    <tableColumn id="33" xr3:uid="{198D5A1D-96A6-4972-B959-BCA7385A13FA}" name="Column33" headerRowDxfId="129" dataDxfId="128"/>
    <tableColumn id="34" xr3:uid="{8B2970A7-A7B1-4938-A1CD-A08E7836EE64}" name="Column34" headerRowDxfId="127" dataDxfId="126"/>
    <tableColumn id="35" xr3:uid="{7421738D-EEE4-46A0-B1A8-15239FAD9860}" name="Column35" headerRowDxfId="125" dataDxfId="124"/>
    <tableColumn id="37" xr3:uid="{9EB7060E-1933-4ECB-945C-EF86580AFEE8}" name="Column37" headerRowDxfId="123" dataDxfId="122"/>
    <tableColumn id="38" xr3:uid="{61E99D5C-C835-49F1-9777-FDC80CCD7397}" name="Column38" headerRowDxfId="121" dataDxfId="120"/>
    <tableColumn id="39" xr3:uid="{022E7E2C-20F1-4F87-BAD7-EB860DC89D7A}" name="Column39" headerRowDxfId="119" dataDxfId="118"/>
    <tableColumn id="36" xr3:uid="{2AF01F81-F9BB-4E27-8B7B-9A0C43DD5B8F}" name="Column36" headerRowDxfId="117" dataDxfId="116"/>
    <tableColumn id="40" xr3:uid="{7F53EE1A-F9AC-4FE0-B3F3-AB21620841EC}" name="Column40" headerRowDxfId="115" dataDxfId="114"/>
    <tableColumn id="41" xr3:uid="{4C9E68A6-9352-4D20-813D-BFDF62D95DA3}" name="Column41" headerRowDxfId="113" dataDxfId="112"/>
    <tableColumn id="42" xr3:uid="{23220944-66FA-4632-B852-C2FE06FD9571}" name="Column42" headerRowDxfId="111" dataDxfId="110"/>
    <tableColumn id="43" xr3:uid="{578D85D3-63BB-4F6C-8F2A-E70B4B5F732C}" name="Column43" headerRowDxfId="109" dataDxfId="108"/>
    <tableColumn id="44" xr3:uid="{C323B278-567F-487D-AC78-0020F53990EB}" name="Column44" headerRowDxfId="107" dataDxfId="106"/>
    <tableColumn id="45" xr3:uid="{D2111396-F1DF-40D4-B4BD-055F5C05B652}" name="Column45" headerRowDxfId="105" dataDxfId="104"/>
    <tableColumn id="46" xr3:uid="{BFC58A63-3B08-4385-817D-F302D114B646}" name="Column46" headerRowDxfId="103" dataDxfId="102"/>
    <tableColumn id="47" xr3:uid="{75BFFE77-8ABE-4CB1-8ADD-D09B58BEFC62}" name="Column47" headerRowDxfId="101" dataDxfId="100"/>
    <tableColumn id="48" xr3:uid="{40E4668B-5EC2-4DA9-82E0-033EFB7B8CB3}" name="Column48" headerRowDxfId="99" dataDxfId="98"/>
    <tableColumn id="49" xr3:uid="{48AE2382-3B06-4EA5-9BC6-FAFFD29E725C}" name="Column49" headerRowDxfId="97" dataDxfId="96"/>
    <tableColumn id="50" xr3:uid="{56ADA094-2C80-4024-A380-0CB87D1D0508}" name="Column50" headerRowDxfId="95" dataDxfId="94"/>
    <tableColumn id="51" xr3:uid="{148EF4A2-F508-4B02-8573-180289CCD45F}" name="Column51" headerRowDxfId="93" dataDxfId="92"/>
    <tableColumn id="52" xr3:uid="{70C93F02-6F3F-4612-BB70-76CC8C97BC60}" name="Column52" headerRowDxfId="91" dataDxfId="90"/>
    <tableColumn id="53" xr3:uid="{A4738225-AC29-4E94-BA48-86CE316DEBDA}" name="Column53" headerRowDxfId="89" dataDxfId="88"/>
    <tableColumn id="54" xr3:uid="{B49F8956-9D6D-4A41-B435-D9FF243CDF47}" name="Column54" headerRowDxfId="87" dataDxfId="86"/>
    <tableColumn id="55" xr3:uid="{14A489D1-A653-4349-A71B-E8751632DA2F}" name="Column55" headerRowDxfId="85" dataDxfId="84"/>
    <tableColumn id="56" xr3:uid="{DC4F533B-06B2-4760-AF7F-671EECF4277C}" name="Column56" headerRowDxfId="83" dataDxfId="82"/>
    <tableColumn id="57" xr3:uid="{A4104812-8D7B-4C9C-915A-013C1DCB5D8E}" name="Column57" headerRowDxfId="81" dataDxfId="80"/>
    <tableColumn id="58" xr3:uid="{FB1DBFAB-6C0C-4658-9DB8-A227D47B91C0}" name="Column58" headerRowDxfId="79" dataDxfId="78"/>
    <tableColumn id="59" xr3:uid="{06383530-170E-41D6-9CA2-984F86689655}" name="Column59" headerRowDxfId="77" dataDxfId="76"/>
    <tableColumn id="60" xr3:uid="{6295B8C8-54C6-489D-88EC-05D3D4D58D39}" name="Column60" headerRowDxfId="75" dataDxfId="74"/>
    <tableColumn id="61" xr3:uid="{A4220A10-01F1-4ADB-A2D6-CFBB8B044EC5}" name="Column61" headerRowDxfId="73" dataDxfId="72"/>
    <tableColumn id="62" xr3:uid="{60790BBB-63D3-4618-978B-8269629D0E5F}" name="Column62" headerRowDxfId="71" dataDxfId="70"/>
    <tableColumn id="63" xr3:uid="{82FB7B52-AC34-411D-BFCF-057A9D8B2976}" name="Column63" headerRowDxfId="69" dataDxfId="68"/>
    <tableColumn id="64" xr3:uid="{38274B42-55FD-4C41-BC99-8077C80E7A1B}" name="Column64" headerRowDxfId="67" dataDxfId="66"/>
    <tableColumn id="65" xr3:uid="{ADA9EE81-38D5-49F4-A420-F750B4DF451F}" name="Column65" headerRowDxfId="65" dataDxfId="64"/>
    <tableColumn id="66" xr3:uid="{C59DF9F4-336A-4C89-962A-32E1DF2635DE}" name="Column66" headerRowDxfId="63" dataDxfId="62"/>
    <tableColumn id="67" xr3:uid="{13CEB742-087B-425E-B26E-DF2D414C9C71}" name="Column67" headerRowDxfId="61" dataDxfId="60"/>
    <tableColumn id="68" xr3:uid="{34D6D8D8-0118-4B6A-8FA6-B1F6A084AEB0}" name="Column68" headerRowDxfId="59" dataDxfId="58"/>
    <tableColumn id="69" xr3:uid="{8A5911FB-0E6E-4C02-9FBB-0719E1490CD4}" name="Column69" headerRowDxfId="57" dataDxfId="56"/>
    <tableColumn id="70" xr3:uid="{5132144D-9CDC-40AF-A737-2986965ECBE2}" name="Column70" headerRowDxfId="55" dataDxfId="54"/>
    <tableColumn id="71" xr3:uid="{BB6A836E-A8FC-4F1A-81EE-B79CCEDF31E5}" name="Column71" headerRowDxfId="53" dataDxfId="52"/>
    <tableColumn id="72" xr3:uid="{2FD4BB0D-5225-40B9-A6F4-0DA88F7EAA8C}" name="Column72" headerRowDxfId="51" dataDxfId="50"/>
    <tableColumn id="73" xr3:uid="{1E31EB92-C72F-4EF3-AFF6-30D7B84396BC}" name="Column73" headerRowDxfId="49" dataDxfId="48"/>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12" totalsRowShown="0" headerRowDxfId="47" headerRowBorderDxfId="46" tableBorderDxfId="45" totalsRowBorderDxfId="44">
  <autoFilter ref="A1:C12" xr:uid="{00000000-0009-0000-0100-00000E000000}">
    <filterColumn colId="0" hiddenButton="1"/>
    <filterColumn colId="1" hiddenButton="1"/>
    <filterColumn colId="2" hiddenButton="1"/>
  </autoFilter>
  <tableColumns count="3">
    <tableColumn id="1" xr3:uid="{00000000-0010-0000-0400-000001000000}" name="Milestone reference" dataDxfId="43"/>
    <tableColumn id="2" xr3:uid="{00000000-0010-0000-0400-000002000000}" name="Rehabilitation milestone" dataDxfId="42"/>
    <tableColumn id="3" xr3:uid="{00000000-0010-0000-0400-000003000000}" name="Milestone criteria" dataDxfId="41"/>
  </tableColumns>
  <tableStyleInfo name="Table Style 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A390E55-0A8A-413F-AB9A-04B1C24CCF15}" name="Table318" displayName="Table318" ref="A11:CS16" headerRowCount="0" totalsRowShown="0" headerRowDxfId="1189" headerRowBorderDxfId="1188" tableBorderDxfId="1187" totalsRowBorderDxfId="1186">
  <tableColumns count="97">
    <tableColumn id="1" xr3:uid="{57384BBF-3057-4666-9BCD-F4526DCEDA92}" name="Column1" headerRowDxfId="1185" dataDxfId="1184"/>
    <tableColumn id="5" xr3:uid="{B0661781-FDD3-4852-B28D-EB472162AB20}" name="Column5" headerRowDxfId="1183" dataDxfId="1182"/>
    <tableColumn id="6" xr3:uid="{4FE841B4-DB20-4149-8CC4-D9E45E1853BF}" name="Column6" headerRowDxfId="1181" dataDxfId="1180"/>
    <tableColumn id="7" xr3:uid="{73C47040-2132-4664-95F2-855F0754044D}" name="Column7" headerRowDxfId="1179" dataDxfId="1178"/>
    <tableColumn id="8" xr3:uid="{4DB4543D-5DA2-4146-93AD-3CFB7B42DF36}" name="Column8" headerRowDxfId="1177" dataDxfId="1176"/>
    <tableColumn id="9" xr3:uid="{E657D065-935C-4D13-82A0-DD54B6FD5213}" name="Column9" headerRowDxfId="1175" dataDxfId="1174"/>
    <tableColumn id="10" xr3:uid="{A6A78D79-6206-48FA-AB05-3B7DD1F42474}" name="Column10" headerRowDxfId="1173" dataDxfId="1172"/>
    <tableColumn id="11" xr3:uid="{1DA676A3-494A-4B46-93A7-534631AC9F33}" name="Column11" headerRowDxfId="1171" dataDxfId="1170"/>
    <tableColumn id="12" xr3:uid="{B295B44A-50CF-4FE0-BD5F-9612B640BD04}" name="Column12" headerRowDxfId="1169" dataDxfId="1168"/>
    <tableColumn id="13" xr3:uid="{8AF379CB-134E-41AA-9AB3-D23E3D9B1C5E}" name="Column13" headerRowDxfId="1167" dataDxfId="1166"/>
    <tableColumn id="14" xr3:uid="{D2F8872C-CAB7-4D50-8304-8B6D33718BA8}" name="Column14" headerRowDxfId="1165" dataDxfId="1164"/>
    <tableColumn id="2" xr3:uid="{F860C12B-0C8E-4782-9BFF-E419E5F87E18}" name="Column2" headerRowDxfId="1163" dataDxfId="1162"/>
    <tableColumn id="3" xr3:uid="{A4FB6D3C-62AE-4CCF-8CC2-87C635DEF460}" name="Column3" headerRowDxfId="1161" dataDxfId="1160"/>
    <tableColumn id="4" xr3:uid="{1878F221-4413-46F4-904B-D3D9970D698C}" name="Column4" headerRowDxfId="1159" dataDxfId="1158"/>
    <tableColumn id="15" xr3:uid="{7E6C3F19-3346-415C-B968-F3185BCEE5E0}" name="Column15" headerRowDxfId="1157" dataDxfId="1156"/>
    <tableColumn id="16" xr3:uid="{7E30CE75-85B1-4DBA-8A17-E3F7002D7C73}" name="Column16" headerRowDxfId="1155" dataDxfId="1154"/>
    <tableColumn id="17" xr3:uid="{9CA287C1-9902-4D3B-9764-9AA94EB5B13A}" name="Column17" headerRowDxfId="1153" dataDxfId="1152"/>
    <tableColumn id="18" xr3:uid="{DC880F17-AE96-4112-82E3-C5C733D56B87}" name="Column18" headerRowDxfId="1151" dataDxfId="1150"/>
    <tableColumn id="19" xr3:uid="{DF47DA95-DC3C-4265-AC70-E865A6358571}" name="Column19" headerRowDxfId="1149" dataDxfId="1148"/>
    <tableColumn id="20" xr3:uid="{B41565EE-5182-462C-AA70-68616AF3302C}" name="Column20" headerRowDxfId="1147" dataDxfId="1146"/>
    <tableColumn id="21" xr3:uid="{49CAE658-8401-4397-B277-CC2AC0B153A8}" name="Column21" headerRowDxfId="1145" dataDxfId="1144"/>
    <tableColumn id="22" xr3:uid="{46F587F1-22E5-4AB7-B42D-07E92C61932A}" name="Column22" headerRowDxfId="1143" dataDxfId="1142"/>
    <tableColumn id="23" xr3:uid="{E295C779-BBF8-43D4-8630-F24530E5C939}" name="Column23" headerRowDxfId="1141" dataDxfId="1140"/>
    <tableColumn id="24" xr3:uid="{18FA9A20-996B-41B2-8BD9-AB721353AF03}" name="Column24" headerRowDxfId="1139" dataDxfId="1138"/>
    <tableColumn id="25" xr3:uid="{DB6B7DC6-77BF-45C0-A005-B1F7F088CFA7}" name="Column25" headerRowDxfId="1137" dataDxfId="1136"/>
    <tableColumn id="26" xr3:uid="{09F19426-F44C-4043-9F20-2EBF511D3B31}" name="Column26" headerRowDxfId="1135" dataDxfId="1134"/>
    <tableColumn id="27" xr3:uid="{CF41E930-EEF4-4EDD-94A2-9DC404D9D931}" name="Column27" headerRowDxfId="1133" dataDxfId="1132"/>
    <tableColumn id="28" xr3:uid="{48C6CC96-C055-44D0-A162-F0EE231E8608}" name="Column28" headerRowDxfId="1131" dataDxfId="1130"/>
    <tableColumn id="29" xr3:uid="{B16D13B8-576C-4E6A-B754-329B827CE574}" name="Column29" headerRowDxfId="1129" dataDxfId="1128"/>
    <tableColumn id="30" xr3:uid="{D8D4A388-9FC1-4422-BDC3-D288E2FECB97}" name="Column30" headerRowDxfId="1127" dataDxfId="1126"/>
    <tableColumn id="31" xr3:uid="{D17FFCDC-1788-4A10-83AD-A8C6D70B388D}" name="Column31" headerRowDxfId="1125" dataDxfId="1124"/>
    <tableColumn id="32" xr3:uid="{B1B747E0-232F-40F6-80D9-F632B93014E3}" name="Column32" headerRowDxfId="1123" dataDxfId="1122"/>
    <tableColumn id="33" xr3:uid="{4FFEE569-2834-42CF-A2D8-45DF743B7C22}" name="Column33" headerRowDxfId="1121" dataDxfId="1120"/>
    <tableColumn id="34" xr3:uid="{96A8A7E8-75DD-4561-80D6-F6AB7CCFCD6A}" name="Column34" headerRowDxfId="1119" dataDxfId="1118"/>
    <tableColumn id="35" xr3:uid="{EDA65923-3D40-4A4E-851A-E6A6A1BA7398}" name="Column35" headerRowDxfId="1117" dataDxfId="1116"/>
    <tableColumn id="36" xr3:uid="{415A8BAC-8F96-462A-B699-DF4F39BE22D2}" name="Column36" headerRowDxfId="1115" dataDxfId="1114"/>
    <tableColumn id="37" xr3:uid="{29AD1021-C8D9-47FC-99DE-BA528412A252}" name="Column37" headerRowDxfId="1113" dataDxfId="1112"/>
    <tableColumn id="38" xr3:uid="{9810C060-BE22-427C-B09E-DA8140134E40}" name="Column38" headerRowDxfId="1111" dataDxfId="1110"/>
    <tableColumn id="39" xr3:uid="{5D2D994F-090F-414A-9A72-E896C28FC3B3}" name="Column39" headerRowDxfId="1109" dataDxfId="1108"/>
    <tableColumn id="40" xr3:uid="{A48EF791-C7AC-4F33-8158-0F1D55770464}" name="Column40" headerRowDxfId="1107" dataDxfId="1106"/>
    <tableColumn id="41" xr3:uid="{B315EED2-539C-41F2-958D-C7CFE8FC620A}" name="Column41" headerRowDxfId="1105" dataDxfId="1104"/>
    <tableColumn id="42" xr3:uid="{763BDB17-E945-40CB-9C86-7BAC4519D330}" name="Column42" headerRowDxfId="1103" dataDxfId="1102"/>
    <tableColumn id="43" xr3:uid="{CFCDAB4D-79C2-4766-9E45-D0287CD398AE}" name="Column43" headerRowDxfId="1101" dataDxfId="1100"/>
    <tableColumn id="44" xr3:uid="{6F0E05FD-705C-431A-921F-4C6F875E5C9A}" name="Column44" headerRowDxfId="1099" dataDxfId="1098"/>
    <tableColumn id="45" xr3:uid="{05E74314-55BD-4AA8-A229-02A1BCBCD3C1}" name="Column45" headerRowDxfId="1097" dataDxfId="1096"/>
    <tableColumn id="46" xr3:uid="{055E3CAB-1717-4AE0-AD08-B7EDD3C5F392}" name="Column46" headerRowDxfId="1095" dataDxfId="1094"/>
    <tableColumn id="47" xr3:uid="{E8BE811D-434A-495C-AE4E-1E2639BBBF20}" name="Column47" headerRowDxfId="1093" dataDxfId="1092"/>
    <tableColumn id="48" xr3:uid="{95FC1228-A692-4B53-9431-C3573F140A56}" name="Column48" headerRowDxfId="1091" dataDxfId="1090"/>
    <tableColumn id="49" xr3:uid="{FA749A95-43C1-4FF6-B76B-5B1AAC9FD952}" name="Column49" headerRowDxfId="1089" dataDxfId="1088"/>
    <tableColumn id="50" xr3:uid="{4822554C-DC7C-4024-A718-7B125EAB94F7}" name="Column50" headerRowDxfId="1087" dataDxfId="1086"/>
    <tableColumn id="51" xr3:uid="{990A8890-C6AF-4FA5-AE5E-7B1D7090CBF7}" name="Column51" headerRowDxfId="1085" dataDxfId="1084"/>
    <tableColumn id="52" xr3:uid="{8670049E-BD1F-402C-AF94-1D193A221598}" name="Column52" headerRowDxfId="1083" dataDxfId="1082"/>
    <tableColumn id="53" xr3:uid="{9A1DDCB9-37C2-40EC-A0A3-1730CF0998CE}" name="Column53" headerRowDxfId="1081" dataDxfId="1080"/>
    <tableColumn id="54" xr3:uid="{C78629DF-C4B9-4DA6-80C1-0129A1A65A78}" name="Column54" headerRowDxfId="1079" dataDxfId="1078"/>
    <tableColumn id="55" xr3:uid="{89042189-0B1E-4532-97E1-DFDE07933643}" name="Column55" headerRowDxfId="1077" dataDxfId="1076"/>
    <tableColumn id="56" xr3:uid="{DE6ABC70-91E4-4634-83FE-0A42A57B5AAB}" name="Column56" headerRowDxfId="1075" dataDxfId="1074"/>
    <tableColumn id="57" xr3:uid="{7E2DFE5D-7040-4165-8886-133D94C75A9E}" name="Column57" headerRowDxfId="1073" dataDxfId="1072"/>
    <tableColumn id="58" xr3:uid="{79C49B20-81DB-42AD-AE9A-7C97D9F72803}" name="Column58" headerRowDxfId="1071" dataDxfId="1070"/>
    <tableColumn id="59" xr3:uid="{9DF312E1-8B94-4A52-8018-6E7D9D8AFA7D}" name="Column59" headerRowDxfId="1069" dataDxfId="1068"/>
    <tableColumn id="60" xr3:uid="{16993359-7995-4AE0-A037-AA54954BE7C5}" name="Column60" headerRowDxfId="1067" dataDxfId="1066"/>
    <tableColumn id="61" xr3:uid="{61F5ACF4-3F65-406F-88DA-E6BB3E3FDD34}" name="Column61" headerRowDxfId="1065" dataDxfId="1064"/>
    <tableColumn id="62" xr3:uid="{F52DB835-47AF-4FE3-A7E0-382AFF5F9BB8}" name="Column62" headerRowDxfId="1063" dataDxfId="1062"/>
    <tableColumn id="63" xr3:uid="{3B0176C0-E57E-4057-87A0-5345436C7551}" name="Column63" headerRowDxfId="1061" dataDxfId="1060"/>
    <tableColumn id="64" xr3:uid="{E30401C9-1EAE-42F4-BAA4-B30A90F2D5E4}" name="Column64" headerRowDxfId="1059" dataDxfId="1058"/>
    <tableColumn id="65" xr3:uid="{96E472E1-EBC4-4DBB-A923-A04EC21A6276}" name="Column65" headerRowDxfId="1057" dataDxfId="1056"/>
    <tableColumn id="66" xr3:uid="{53F1D560-1EE1-46B8-B4E3-7BC21A70AD06}" name="Column66" headerRowDxfId="1055" dataDxfId="1054"/>
    <tableColumn id="67" xr3:uid="{E6002031-4C1A-44A3-BC91-096F524C2B85}" name="Column67" headerRowDxfId="1053" dataDxfId="1052"/>
    <tableColumn id="68" xr3:uid="{309D85B6-7E3C-4634-B81C-C2B163803E88}" name="Column68" headerRowDxfId="1051" dataDxfId="1050"/>
    <tableColumn id="69" xr3:uid="{05E67A45-DE57-438B-A315-E939B9E0259B}" name="Column69" headerRowDxfId="1049" dataDxfId="1048"/>
    <tableColumn id="70" xr3:uid="{24B9A297-116A-48C6-82B4-E83B3D59F069}" name="Column70" headerRowDxfId="1047" dataDxfId="1046"/>
    <tableColumn id="71" xr3:uid="{4B234446-9A9D-4544-A54D-B0438BEAEC90}" name="Column71" headerRowDxfId="1045" dataDxfId="1044"/>
    <tableColumn id="72" xr3:uid="{6125990C-7613-495B-A286-8CF5C1B1CC33}" name="Column72" headerRowDxfId="1043" dataDxfId="1042"/>
    <tableColumn id="73" xr3:uid="{3629B2F0-1462-470D-86E3-9ACC15D4CA38}" name="Column73" headerRowDxfId="1041" dataDxfId="1040"/>
    <tableColumn id="74" xr3:uid="{4A46C2FD-0AD6-422B-A5C3-1BFCCB01EA2F}" name="Column74" headerRowDxfId="1039" dataDxfId="1038"/>
    <tableColumn id="75" xr3:uid="{A1B3D707-FD0F-44BA-8BAD-3EB9752328A8}" name="Column75" headerRowDxfId="1037" dataDxfId="1036"/>
    <tableColumn id="76" xr3:uid="{E128DFBC-AEDC-4EAC-853C-869637716696}" name="Column76" headerRowDxfId="1035" dataDxfId="1034"/>
    <tableColumn id="77" xr3:uid="{3EE68ED9-7265-4824-9B7F-42746C68C5A9}" name="Column77" headerRowDxfId="1033" dataDxfId="1032"/>
    <tableColumn id="78" xr3:uid="{33908A9F-970B-44EB-A2F3-0335A7433324}" name="Column78" headerRowDxfId="1031" dataDxfId="1030"/>
    <tableColumn id="79" xr3:uid="{54857710-7CC7-4299-8C3B-0BCB6521E4DF}" name="Column79" headerRowDxfId="1029" dataDxfId="1028"/>
    <tableColumn id="80" xr3:uid="{D7DA5D54-01EC-4E34-91AE-D75CC7E1BBD9}" name="Column80" headerRowDxfId="1027" dataDxfId="1026"/>
    <tableColumn id="81" xr3:uid="{0CDC549B-0FF5-4818-AFEF-243366217757}" name="Column81" headerRowDxfId="1025" dataDxfId="1024"/>
    <tableColumn id="82" xr3:uid="{1B9BBABD-CC9B-44B2-9055-4721B5E3B583}" name="Column82" headerRowDxfId="1023" dataDxfId="1022"/>
    <tableColumn id="83" xr3:uid="{21992FC8-4621-46BE-B68E-A29F5F7E9B00}" name="Column83" headerRowDxfId="1021" dataDxfId="1020"/>
    <tableColumn id="84" xr3:uid="{87EEEE7D-F4AA-4FE3-9F4C-4791F18946CC}" name="Column84" headerRowDxfId="1019" dataDxfId="1018"/>
    <tableColumn id="85" xr3:uid="{19893993-D412-4DC7-AC36-D3B9D4702D7A}" name="Column85" headerRowDxfId="1017" dataDxfId="1016"/>
    <tableColumn id="86" xr3:uid="{A4929864-6AED-4791-B06E-89448FA1A67B}" name="Column86" headerRowDxfId="1015" dataDxfId="1014"/>
    <tableColumn id="87" xr3:uid="{2324EBAE-D874-435C-81D1-33F411AC963D}" name="Column87" headerRowDxfId="1013" dataDxfId="1012"/>
    <tableColumn id="88" xr3:uid="{D5B026A1-34B9-4933-9B8B-DFA7A737DBF2}" name="Column88" headerRowDxfId="1011" dataDxfId="1010"/>
    <tableColumn id="89" xr3:uid="{604BBDA0-7DC8-4683-901F-F61D6C79F00F}" name="Column89" headerRowDxfId="1009" dataDxfId="1008"/>
    <tableColumn id="90" xr3:uid="{4EC1B385-95BB-4E35-A6EC-D38960ECCCD6}" name="Column90" headerRowDxfId="1007" dataDxfId="1006"/>
    <tableColumn id="91" xr3:uid="{496B7C90-C0E8-4CD6-A742-A9B07D1126A0}" name="Column91" headerRowDxfId="1005" dataDxfId="1004"/>
    <tableColumn id="92" xr3:uid="{22DFA848-D84C-440D-A2BB-78A1E54C0622}" name="Column92" headerRowDxfId="1003" dataDxfId="1002"/>
    <tableColumn id="93" xr3:uid="{EFFE81AD-3675-4384-B2C8-D9061E46838E}" name="Column93" headerRowDxfId="1001" dataDxfId="1000"/>
    <tableColumn id="94" xr3:uid="{594141B9-17B8-4EC6-9CDE-2EFA9BBD9331}" name="Column94" headerRowDxfId="999" dataDxfId="998"/>
    <tableColumn id="95" xr3:uid="{A55AB24F-AB3C-411B-8688-4ACFD564B089}" name="Column95" headerRowDxfId="997" dataDxfId="996"/>
    <tableColumn id="96" xr3:uid="{96E7E977-0DD6-435C-BD2E-911FE23532F5}" name="Column96" headerRowDxfId="995" dataDxfId="994"/>
    <tableColumn id="97" xr3:uid="{F06B17F1-E8EC-4D79-875B-83E23447C5C0}" name="Column97" headerRowDxfId="993" dataDxfId="992"/>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57FF5DE-0DC7-45F9-B902-CDC249BF2B52}" name="Table2212" displayName="Table2212" ref="A7:CO9" headerRowCount="0" totalsRowShown="0" headerRowDxfId="991" headerRowBorderDxfId="990" tableBorderDxfId="989" totalsRowBorderDxfId="988">
  <tableColumns count="93">
    <tableColumn id="1" xr3:uid="{07A9D347-2C80-442D-B752-70E78573ACDB}" name="Column1" headerRowDxfId="987" dataDxfId="986"/>
    <tableColumn id="6" xr3:uid="{6996936C-CE1F-48EE-A389-81264883C593}" name="Column6" headerRowDxfId="985" dataDxfId="984"/>
    <tableColumn id="7" xr3:uid="{BF51EC5E-5A0E-4268-889B-55CA55A5209A}" name="Column7" headerRowDxfId="983" dataDxfId="982"/>
    <tableColumn id="9" xr3:uid="{24A529B2-76C9-4A45-A406-6ED18F51A807}" name="Column9" headerRowDxfId="981" dataDxfId="980"/>
    <tableColumn id="10" xr3:uid="{6CD1B0CD-8F18-43CD-8D70-A0706CF98BE9}" name="Column10" headerRowDxfId="979" dataDxfId="978"/>
    <tableColumn id="12" xr3:uid="{24690018-36D4-44A6-A942-377C9FB8379F}" name="Column12" headerRowDxfId="977" dataDxfId="976"/>
    <tableColumn id="13" xr3:uid="{0F9D09B5-4828-4B55-9422-FC342C97F35E}" name="Column13" headerRowDxfId="975" dataDxfId="974"/>
    <tableColumn id="14" xr3:uid="{055E48D6-43C0-42F5-B761-C0BC98CAF5EB}" name="Column14" headerRowDxfId="973" dataDxfId="972"/>
    <tableColumn id="15" xr3:uid="{9C1F7B02-CEAF-45B0-BB76-9DD5A937BDE9}" name="Column15" headerRowDxfId="971" dataDxfId="970"/>
    <tableColumn id="16" xr3:uid="{C57BE1AA-D0E9-4CFD-8851-86F8288D5CF3}" name="Column16" headerRowDxfId="969" dataDxfId="968"/>
    <tableColumn id="17" xr3:uid="{6C69C63C-3A42-4383-856C-F401BECD9679}" name="Column17" headerRowDxfId="967" dataDxfId="966"/>
    <tableColumn id="21" xr3:uid="{72DE5B66-B43C-40AB-AA17-8AC1D67D2745}" name="Column21" headerRowDxfId="965" dataDxfId="964"/>
    <tableColumn id="22" xr3:uid="{4068C2F2-A7AE-412B-993E-217CBEAC0097}" name="Column22" headerRowDxfId="963" dataDxfId="962"/>
    <tableColumn id="23" xr3:uid="{74EE2568-E693-4113-AAA5-FFE9F502EA1B}" name="Column23" headerRowDxfId="961" dataDxfId="960"/>
    <tableColumn id="24" xr3:uid="{1EA6B936-DF16-4FE5-92D9-47B089EDE911}" name="Column24" headerRowDxfId="959" dataDxfId="958"/>
    <tableColumn id="25" xr3:uid="{D6870574-3668-40F1-BD44-89D9F5EFD807}" name="Column25" headerRowDxfId="957" dataDxfId="956"/>
    <tableColumn id="26" xr3:uid="{4FCFB674-2178-4042-B66B-C45F3C933269}" name="Column26" headerRowDxfId="955" dataDxfId="954"/>
    <tableColumn id="27" xr3:uid="{AF1B6B77-B8AD-4DE5-9A7D-6E637BF88B7C}" name="Column27" headerRowDxfId="953" dataDxfId="952"/>
    <tableColumn id="28" xr3:uid="{CB103B78-791A-4157-B29D-6D8B9424B1E1}" name="Column28" headerRowDxfId="951" dataDxfId="950"/>
    <tableColumn id="29" xr3:uid="{D1FDB73C-FCA4-4536-9D18-7EC52AC61A8C}" name="Column29" headerRowDxfId="949" dataDxfId="948"/>
    <tableColumn id="30" xr3:uid="{0A78B902-1EBC-4918-92AA-80A1EED333F7}" name="Column30" headerRowDxfId="947" dataDxfId="946"/>
    <tableColumn id="31" xr3:uid="{4E8D967F-4EB0-4C27-8269-4B0ABB9B73D7}" name="Column31" headerRowDxfId="945" dataDxfId="944"/>
    <tableColumn id="32" xr3:uid="{C7D96DE4-6BDE-4A68-8423-4F52B9C084C9}" name="Column32" headerRowDxfId="943" dataDxfId="942"/>
    <tableColumn id="33" xr3:uid="{8737861F-FB21-4260-BD94-7FDD8CE19EA5}" name="Column33" headerRowDxfId="941" dataDxfId="940"/>
    <tableColumn id="34" xr3:uid="{286FB6CD-C290-4B95-866F-FB667299D841}" name="Column34" headerRowDxfId="939" dataDxfId="938"/>
    <tableColumn id="35" xr3:uid="{27BAD1CD-1FA4-46A2-9AE2-F08EF9A507B0}" name="Column35" headerRowDxfId="937" dataDxfId="936"/>
    <tableColumn id="36" xr3:uid="{391625B5-7F12-4CD7-9360-D8CE6368B876}" name="Column36" headerRowDxfId="935" dataDxfId="934"/>
    <tableColumn id="37" xr3:uid="{A51C6A88-C566-4019-AE4B-AEC7A5EADD26}" name="Column37" headerRowDxfId="933" dataDxfId="932"/>
    <tableColumn id="38" xr3:uid="{CAFD9BD8-C8DD-44A0-8812-1DCD70D61ECC}" name="Column38" headerRowDxfId="931" dataDxfId="930"/>
    <tableColumn id="39" xr3:uid="{FF63526E-9629-4B13-BCE0-CAEF3A7B3293}" name="Column39" headerRowDxfId="929" dataDxfId="928"/>
    <tableColumn id="40" xr3:uid="{C8337500-4F71-4991-9F67-69A7A7E219AF}" name="Column40" headerRowDxfId="927" dataDxfId="926"/>
    <tableColumn id="41" xr3:uid="{B3B19220-E5CF-4312-AD58-C748003B34EA}" name="Column41" headerRowDxfId="925" dataDxfId="924"/>
    <tableColumn id="42" xr3:uid="{1AE9C14B-7433-40B4-8CB4-437B905D959F}" name="Column42" headerRowDxfId="923" dataDxfId="922"/>
    <tableColumn id="43" xr3:uid="{EFD922AC-414A-424B-84CC-4D3AA93A5C55}" name="Column43" headerRowDxfId="921" dataDxfId="920"/>
    <tableColumn id="44" xr3:uid="{227D7E63-6607-4080-B378-D5E5A60A3CDA}" name="Column44" headerRowDxfId="919" dataDxfId="918"/>
    <tableColumn id="45" xr3:uid="{4AFB6328-C591-4DFE-BDD6-82B791A7B99C}" name="Column45" headerRowDxfId="917" dataDxfId="916"/>
    <tableColumn id="46" xr3:uid="{643BCA0B-1DAC-4BCA-9DAC-BB74C406FB6E}" name="Column46" headerRowDxfId="915" dataDxfId="914"/>
    <tableColumn id="47" xr3:uid="{C4FFF90E-ECCE-4838-90FC-F7E994F0A3FF}" name="Column47" headerRowDxfId="913" dataDxfId="912"/>
    <tableColumn id="48" xr3:uid="{461D1565-63E0-4791-846D-5AC2763AA4B0}" name="Column48" headerRowDxfId="911" dataDxfId="910"/>
    <tableColumn id="49" xr3:uid="{5F5D8F78-09F3-43EC-93FB-5282FF2A6D07}" name="Column49" headerRowDxfId="909" dataDxfId="908"/>
    <tableColumn id="50" xr3:uid="{F0619C03-113C-4277-83DD-028C69A1E0AA}" name="Column50" headerRowDxfId="907" dataDxfId="906"/>
    <tableColumn id="51" xr3:uid="{0E5A98ED-1CE4-4E4A-94F3-1BEF17EB12D7}" name="Column51" headerRowDxfId="905" dataDxfId="904"/>
    <tableColumn id="52" xr3:uid="{1EDD3B52-3260-4E1D-B23C-A2AC4094C2B8}" name="Column52" headerRowDxfId="903" dataDxfId="902"/>
    <tableColumn id="53" xr3:uid="{AD6312F4-CCDC-48E2-AAEC-6B7A6EA606B4}" name="Column53" headerRowDxfId="901" dataDxfId="900"/>
    <tableColumn id="54" xr3:uid="{FF337615-AEF8-4E0F-AF8B-C8271CBA6875}" name="Column54" headerRowDxfId="899" dataDxfId="898"/>
    <tableColumn id="55" xr3:uid="{B33F41FA-87A2-40A9-AC21-902DA4ABBFA4}" name="Column55" headerRowDxfId="897" dataDxfId="896"/>
    <tableColumn id="56" xr3:uid="{AA6EAA08-10D5-40C4-84CA-E1075EBDF0A4}" name="Column56" headerRowDxfId="895" dataDxfId="894"/>
    <tableColumn id="57" xr3:uid="{46094591-79FD-4733-A10B-34B0DF5541B1}" name="Column57" headerRowDxfId="893" dataDxfId="892"/>
    <tableColumn id="58" xr3:uid="{53C9CD53-F41F-42C8-B61C-B4FFC8A5577A}" name="Column58" headerRowDxfId="891" dataDxfId="890"/>
    <tableColumn id="59" xr3:uid="{2CA6489A-4ED0-4727-920B-7B4E5DDA5017}" name="Column59" headerRowDxfId="889" dataDxfId="888"/>
    <tableColumn id="60" xr3:uid="{2AA26816-C3C0-4950-82BE-66227784B946}" name="Column60" headerRowDxfId="887" dataDxfId="886"/>
    <tableColumn id="61" xr3:uid="{29439DAF-AC49-4CAC-BB93-B8ABAB7ED94A}" name="Column61" headerRowDxfId="885" dataDxfId="884"/>
    <tableColumn id="62" xr3:uid="{4EF25C0D-66F4-4D7D-B257-E80F2EFFEE20}" name="Column62" headerRowDxfId="883" dataDxfId="882"/>
    <tableColumn id="63" xr3:uid="{4BB600CD-C193-4D47-AD54-AA5CE48ED90D}" name="Column63" headerRowDxfId="881" dataDxfId="880"/>
    <tableColumn id="65" xr3:uid="{4E30FEB0-19D8-462F-961E-CBF3B5C21BE6}" name="Column65" headerRowDxfId="879" dataDxfId="878"/>
    <tableColumn id="66" xr3:uid="{6D64A1A8-BE56-4681-8353-ED88BDE69DB7}" name="Column66" headerRowDxfId="877" dataDxfId="876"/>
    <tableColumn id="67" xr3:uid="{09811125-3DC6-4569-BE16-F9AEB6EA5277}" name="Column67" headerRowDxfId="875" dataDxfId="874"/>
    <tableColumn id="68" xr3:uid="{2B2F639C-2EA3-405F-8A78-43B2417F4842}" name="Column68" headerRowDxfId="873" dataDxfId="872"/>
    <tableColumn id="69" xr3:uid="{F6AB14DD-810E-4361-87EE-D60CA2397869}" name="Column69" headerRowDxfId="871" dataDxfId="870"/>
    <tableColumn id="70" xr3:uid="{379EEA48-69A6-49A0-AB4A-BF20C7F971D4}" name="Column70" headerRowDxfId="869" dataDxfId="868"/>
    <tableColumn id="71" xr3:uid="{D38D4FDD-1E05-4073-B52D-B9654725342A}" name="Column71" headerRowDxfId="867" dataDxfId="866"/>
    <tableColumn id="72" xr3:uid="{20EE1D9D-22CC-4FAC-AC1F-61A0BD0019E0}" name="Column72" headerRowDxfId="865" dataDxfId="864"/>
    <tableColumn id="73" xr3:uid="{37F95B18-B429-4907-BD05-2042FE9D9C07}" name="Column73" headerRowDxfId="863" dataDxfId="862"/>
    <tableColumn id="74" xr3:uid="{DF2E7AEC-0AE9-4122-A223-1FCB31977B72}" name="Column74" headerRowDxfId="861" dataDxfId="860"/>
    <tableColumn id="75" xr3:uid="{575053B3-9F61-4E1D-92B0-D96F29539C89}" name="Column75" headerRowDxfId="859" dataDxfId="858"/>
    <tableColumn id="76" xr3:uid="{E1AFD711-EAB0-4C5F-BA3D-046B6CF7EB80}" name="Column76" headerRowDxfId="857" dataDxfId="856"/>
    <tableColumn id="77" xr3:uid="{031DF624-8690-41CC-A1CD-1F21F4D6DE0B}" name="Column77" headerRowDxfId="855" dataDxfId="854"/>
    <tableColumn id="78" xr3:uid="{54069841-E776-4C54-A81F-670CFAA24834}" name="Column78" headerRowDxfId="853" dataDxfId="852"/>
    <tableColumn id="79" xr3:uid="{A767BB58-14EC-41DA-A1C7-4A05664A0B8C}" name="Column79" headerRowDxfId="851" dataDxfId="850"/>
    <tableColumn id="80" xr3:uid="{537ADF1F-AFC4-44C1-B1C6-FA0F2D4BA7D7}" name="Column80" headerRowDxfId="849" dataDxfId="848"/>
    <tableColumn id="81" xr3:uid="{AE456058-2259-4ABC-9059-6A006BE9CA5C}" name="Column81" headerRowDxfId="847" dataDxfId="846"/>
    <tableColumn id="82" xr3:uid="{EEEF09EF-0852-4C2F-B615-82B4FC3C0DC9}" name="Column82" headerRowDxfId="845" dataDxfId="844"/>
    <tableColumn id="83" xr3:uid="{8630FE3C-8E87-469A-B052-F604E7950DF4}" name="Column83" headerRowDxfId="843" dataDxfId="842"/>
    <tableColumn id="84" xr3:uid="{833674A3-B4C0-460A-AA22-7D7F4AC6F235}" name="Column84" headerRowDxfId="841" dataDxfId="840"/>
    <tableColumn id="85" xr3:uid="{D85E32B4-3FD7-4BD3-9983-176950DC929B}" name="Column85" headerRowDxfId="839" dataDxfId="838"/>
    <tableColumn id="86" xr3:uid="{ED6DA974-A71D-4959-B7D5-93B212F396E3}" name="Column86" headerRowDxfId="837" dataDxfId="836"/>
    <tableColumn id="90" xr3:uid="{BB9E7D4C-F5C7-46AA-AD8C-C5C99BCB2252}" name="Column90" headerRowDxfId="835" dataDxfId="834"/>
    <tableColumn id="92" xr3:uid="{AE38EA16-2CD5-432B-BC4C-3126E2F5B33F}" name="Column92" headerRowDxfId="833" dataDxfId="832"/>
    <tableColumn id="95" xr3:uid="{46ED1305-BF0E-4CDD-968D-64D0E7D6FDEA}" name="Column95" headerRowDxfId="831" dataDxfId="830"/>
    <tableColumn id="96" xr3:uid="{49005E35-315D-4C98-AC83-BE65658842B4}" name="Column96" headerRowDxfId="829" dataDxfId="828"/>
    <tableColumn id="99" xr3:uid="{667CE00D-D9B7-4EFF-8849-12C1997E1E00}" name="Column99" headerRowDxfId="827" dataDxfId="826"/>
    <tableColumn id="100" xr3:uid="{52E62921-0380-439B-B3B2-6F25DD42D169}" name="Column100" headerRowDxfId="825" dataDxfId="824"/>
    <tableColumn id="101" xr3:uid="{F65ECC1D-7551-44F3-A773-F5A51E1B5FDF}" name="Column101" headerRowDxfId="823" dataDxfId="822"/>
    <tableColumn id="2" xr3:uid="{3E3189A0-8380-4D13-B1A5-B022FF60F8EA}" name="Column2" headerRowDxfId="821" dataDxfId="820"/>
    <tableColumn id="3" xr3:uid="{FC39981D-5C04-4FD9-8457-22D14688FCB5}" name="Column3" headerRowDxfId="819" dataDxfId="818"/>
    <tableColumn id="4" xr3:uid="{4EB789B9-5D07-4266-932D-5BB22A6AC54C}" name="Column4" headerRowDxfId="817" dataDxfId="816"/>
    <tableColumn id="5" xr3:uid="{FAB389D7-DB2B-4D65-8E98-1FE2E10354E9}" name="Column5" headerRowDxfId="815" dataDxfId="814"/>
    <tableColumn id="8" xr3:uid="{6D4A7922-52EB-41AF-89B4-651ECC6AD0E3}" name="Column8" headerRowDxfId="813" dataDxfId="812"/>
    <tableColumn id="11" xr3:uid="{4BFE34B3-76EE-4B56-BB4A-9CF545645F2E}" name="Column11" headerRowDxfId="811" dataDxfId="810"/>
    <tableColumn id="18" xr3:uid="{5E14A229-1B81-4839-AE76-214755969A26}" name="Column18" headerRowDxfId="809" dataDxfId="808"/>
    <tableColumn id="19" xr3:uid="{7FDB081E-7C4D-4147-B226-9CD43636080C}" name="Column19" headerRowDxfId="807" dataDxfId="806"/>
    <tableColumn id="20" xr3:uid="{0E5EF17E-741E-469D-BD73-A1953809A20F}" name="Column20" headerRowDxfId="805" dataDxfId="804"/>
    <tableColumn id="64" xr3:uid="{5CB96C68-D10D-4863-BA8B-A1BF02C79C14}" name="Column64" headerRowDxfId="803" dataDxfId="802"/>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5178836-E5A3-4826-9D17-503FB6263BB9}" name="Table3513" displayName="Table3513" ref="A11:CO16" headerRowCount="0" totalsRowShown="0" headerRowDxfId="801" headerRowBorderDxfId="800" tableBorderDxfId="799" totalsRowBorderDxfId="798">
  <tableColumns count="93">
    <tableColumn id="1" xr3:uid="{2D2E4AC2-8945-4D63-A550-75A4D4A4F460}" name="Column1" headerRowDxfId="797" dataDxfId="796"/>
    <tableColumn id="2" xr3:uid="{916BB132-7110-4C54-BEB9-D90827F10C21}" name="Column2" headerRowDxfId="795" dataDxfId="794"/>
    <tableColumn id="3" xr3:uid="{E3E894EB-F97A-4758-8E9E-2470D54995D4}" name="Column3" headerRowDxfId="793" dataDxfId="792"/>
    <tableColumn id="4" xr3:uid="{6BBEF395-5C32-4F61-8FB2-AF9E62E1DA74}" name="Column4" headerRowDxfId="791" dataDxfId="790"/>
    <tableColumn id="5" xr3:uid="{B379F410-3C04-42CF-A87E-EAF584CF2C0B}" name="Column5" headerRowDxfId="789" dataDxfId="788"/>
    <tableColumn id="6" xr3:uid="{36389A3F-F4A7-4295-A385-E1319C3719C5}" name="Column6" headerRowDxfId="787" dataDxfId="786"/>
    <tableColumn id="7" xr3:uid="{56FF0EF2-B847-40FF-B9BE-4D9F88BBEB29}" name="Column7" headerRowDxfId="785" dataDxfId="784"/>
    <tableColumn id="8" xr3:uid="{7D9FE057-2A6F-487B-97A5-A0C21997D7BE}" name="Column8" headerRowDxfId="783" dataDxfId="782"/>
    <tableColumn id="9" xr3:uid="{364C5FEC-DD1F-4A45-BC39-B6C8E2F9B815}" name="Column9" headerRowDxfId="781" dataDxfId="780"/>
    <tableColumn id="10" xr3:uid="{43F06175-4DED-4FD6-958B-3EF6B1F460B3}" name="Column10" headerRowDxfId="779" dataDxfId="778"/>
    <tableColumn id="11" xr3:uid="{A080EFDB-87CF-44FE-AE61-85A04F555FE6}" name="Column11" headerRowDxfId="777" dataDxfId="776"/>
    <tableColumn id="12" xr3:uid="{3DA6C763-7401-47CC-9C22-C630EA8CA1F7}" name="Column12" headerRowDxfId="775" dataDxfId="774"/>
    <tableColumn id="13" xr3:uid="{DC5E14F9-CF27-4C72-AF3E-2AEB0A5346CC}" name="Column13" headerRowDxfId="773" dataDxfId="772"/>
    <tableColumn id="14" xr3:uid="{B2CA8FE8-C87C-44AF-99C1-494DD355DF7A}" name="Column14" headerRowDxfId="771" dataDxfId="770"/>
    <tableColumn id="15" xr3:uid="{470EE76A-6E7E-41C5-B880-40BB0992B649}" name="Column15" headerRowDxfId="769" dataDxfId="768"/>
    <tableColumn id="16" xr3:uid="{822F8F07-C118-42F1-9BB8-118535CEA5F2}" name="Column16" headerRowDxfId="767" dataDxfId="766"/>
    <tableColumn id="17" xr3:uid="{7584FE3B-5990-456D-8562-47D018E0C94C}" name="Column17" headerRowDxfId="765" dataDxfId="764"/>
    <tableColumn id="18" xr3:uid="{ED1CED14-D5E7-4C36-ACF9-32C56D5ABB7F}" name="Column18" headerRowDxfId="763" dataDxfId="762"/>
    <tableColumn id="19" xr3:uid="{B7F0F3FB-D667-4FE6-91A2-39DE8778CD77}" name="Column19" headerRowDxfId="761" dataDxfId="760"/>
    <tableColumn id="20" xr3:uid="{90964DD6-33A8-4038-BB79-B67D9E9CBD18}" name="Column20" headerRowDxfId="759" dataDxfId="758"/>
    <tableColumn id="21" xr3:uid="{2E059BC1-EC9A-4962-93EE-9E2E8D667627}" name="Column21" headerRowDxfId="757" dataDxfId="756"/>
    <tableColumn id="22" xr3:uid="{D914FA3F-0702-47D3-9DE1-12129F3C40FC}" name="Column22" headerRowDxfId="755" dataDxfId="754"/>
    <tableColumn id="23" xr3:uid="{EB56EB79-45FC-4943-B86E-501C686EE7A7}" name="Column23" headerRowDxfId="753" dataDxfId="752"/>
    <tableColumn id="24" xr3:uid="{38FFFE01-4B4F-40C2-971E-CDDFBB2A834C}" name="Column24" headerRowDxfId="751" dataDxfId="750"/>
    <tableColumn id="25" xr3:uid="{ECDF9E5D-EE48-42F2-A535-F1ED2ECC1B2B}" name="Column25" headerRowDxfId="749" dataDxfId="748"/>
    <tableColumn id="26" xr3:uid="{947ABAE2-DB36-415A-A14E-8683871BF683}" name="Column26" headerRowDxfId="747" dataDxfId="746"/>
    <tableColumn id="27" xr3:uid="{ECE77E6C-1AFD-4996-A1B0-715B0D1BFA6F}" name="Column27" headerRowDxfId="745" dataDxfId="744"/>
    <tableColumn id="28" xr3:uid="{E38123B7-F24D-46CC-8E36-988D073E6E44}" name="Column28" headerRowDxfId="743" dataDxfId="742"/>
    <tableColumn id="29" xr3:uid="{4472253C-1E5F-43BA-A9B0-2B9874E0CA81}" name="Column29" headerRowDxfId="741" dataDxfId="740"/>
    <tableColumn id="30" xr3:uid="{A4573172-4D9E-424B-BE12-95598D554E42}" name="Column30" headerRowDxfId="739" dataDxfId="738"/>
    <tableColumn id="31" xr3:uid="{E4842553-A0D5-4FD7-B034-8524E17E1D29}" name="Column31" headerRowDxfId="737" dataDxfId="736"/>
    <tableColumn id="32" xr3:uid="{6699FAE2-50A6-47E3-BAB2-DFBCEABFF1EA}" name="Column32" headerRowDxfId="735" dataDxfId="734"/>
    <tableColumn id="33" xr3:uid="{EBA0DCE5-BAB3-41E7-B855-DFE175E0439C}" name="Column33" headerRowDxfId="733" dataDxfId="732"/>
    <tableColumn id="34" xr3:uid="{4A29E2C9-8CC3-4EC3-98F8-5B3E7E8DE033}" name="Column34" headerRowDxfId="731" dataDxfId="730"/>
    <tableColumn id="35" xr3:uid="{4529F973-7B58-4AB2-817B-0B70AEDE34B2}" name="Column35" headerRowDxfId="729" dataDxfId="728"/>
    <tableColumn id="36" xr3:uid="{1E9A955E-0BC7-4304-8CBB-301F61436F49}" name="Column36" headerRowDxfId="727" dataDxfId="726"/>
    <tableColumn id="37" xr3:uid="{D2E6F6A6-1039-4214-8E8D-C74314FB0556}" name="Column37" headerRowDxfId="725" dataDxfId="724"/>
    <tableColumn id="38" xr3:uid="{C25D0084-982F-4449-BB0E-F6CE1613E5D5}" name="Column38" headerRowDxfId="723" dataDxfId="722"/>
    <tableColumn id="39" xr3:uid="{BE49C209-2DE9-4324-8E7B-8861FF62F44A}" name="Column39" headerRowDxfId="721" dataDxfId="720"/>
    <tableColumn id="40" xr3:uid="{3E1F8708-550B-471E-B16B-6444E63DFF0A}" name="Column40" headerRowDxfId="719" dataDxfId="718"/>
    <tableColumn id="41" xr3:uid="{AB41DBDF-2948-4750-B9B3-2C5005AB7792}" name="Column41" headerRowDxfId="717" dataDxfId="716"/>
    <tableColumn id="42" xr3:uid="{E4F6C932-4524-4FA0-8AFA-B46F7CA75C57}" name="Column42" headerRowDxfId="715" dataDxfId="714"/>
    <tableColumn id="43" xr3:uid="{E14151A0-6D91-496E-AD36-B9AA6C83052F}" name="Column43" headerRowDxfId="713" dataDxfId="712"/>
    <tableColumn id="44" xr3:uid="{49FAA86C-4527-4108-9B28-9BF880E1D194}" name="Column44" headerRowDxfId="711" dataDxfId="710"/>
    <tableColumn id="45" xr3:uid="{AE30DCA0-80CF-4CC4-A551-B2A0D2CB415A}" name="Column45" headerRowDxfId="709" dataDxfId="708"/>
    <tableColumn id="46" xr3:uid="{0FD5251E-E10B-44D4-AB09-2077782B90A7}" name="Column46" headerRowDxfId="707" dataDxfId="706"/>
    <tableColumn id="47" xr3:uid="{776D342E-2497-48E9-80BB-864F770941BD}" name="Column47" headerRowDxfId="705" dataDxfId="704"/>
    <tableColumn id="48" xr3:uid="{2B2C8EA2-4285-4D7D-A1D6-F13B648D4138}" name="Column48" headerRowDxfId="703" dataDxfId="702"/>
    <tableColumn id="49" xr3:uid="{5A193C33-6D86-440F-9BE1-1A580E45F5A5}" name="Column49" headerRowDxfId="701" dataDxfId="700"/>
    <tableColumn id="50" xr3:uid="{29D333D5-6DF2-463F-B863-D871C9B66AD2}" name="Column50" headerRowDxfId="699" dataDxfId="698"/>
    <tableColumn id="51" xr3:uid="{D83BF045-DDD5-44E5-BE29-CFC1C5EF21AA}" name="Column51" headerRowDxfId="697" dataDxfId="696"/>
    <tableColumn id="52" xr3:uid="{EF7E32E9-D51B-425C-BC06-685EF303BC2E}" name="Column52" headerRowDxfId="695" dataDxfId="694"/>
    <tableColumn id="53" xr3:uid="{B50AF79B-54DF-4AFB-8679-C873F9699816}" name="Column53" headerRowDxfId="693" dataDxfId="692"/>
    <tableColumn id="54" xr3:uid="{76F8B864-A695-4866-81E2-855596131B6E}" name="Column54" headerRowDxfId="691" dataDxfId="690"/>
    <tableColumn id="55" xr3:uid="{550C042B-E4BB-4574-A696-C5E212C497FF}" name="Column55" headerRowDxfId="689" dataDxfId="688"/>
    <tableColumn id="56" xr3:uid="{E8D5BD26-327E-406D-BAB9-14AA72710670}" name="Column56" headerRowDxfId="687" dataDxfId="686"/>
    <tableColumn id="57" xr3:uid="{3098E69C-B571-425E-9961-7800338CCAF9}" name="Column57" headerRowDxfId="685" dataDxfId="684"/>
    <tableColumn id="58" xr3:uid="{03431E10-5E90-4EBA-845D-BD0DFFE3B4B6}" name="Column58" headerRowDxfId="683" dataDxfId="682"/>
    <tableColumn id="59" xr3:uid="{7A11C2D3-E601-4EFC-93C8-01718F8749E8}" name="Column59" headerRowDxfId="681" dataDxfId="680"/>
    <tableColumn id="60" xr3:uid="{395CF006-2051-44FD-B6E6-3763861AE3C0}" name="Column60" headerRowDxfId="679" dataDxfId="678"/>
    <tableColumn id="61" xr3:uid="{84A4B6AD-7858-44F7-9959-32EAD7A3C9B8}" name="Column61" headerRowDxfId="677" dataDxfId="676"/>
    <tableColumn id="62" xr3:uid="{53484693-CBED-4109-8D4E-3BDC6023CBB7}" name="Column62" headerRowDxfId="675" dataDxfId="674"/>
    <tableColumn id="63" xr3:uid="{D2D04F7B-7D01-4BED-B068-CECCE2E43DBE}" name="Column63" headerRowDxfId="673" dataDxfId="672"/>
    <tableColumn id="64" xr3:uid="{2F1D3D67-C71E-4BAE-9865-ACE89EB6AD64}" name="Column64" headerRowDxfId="671" dataDxfId="670"/>
    <tableColumn id="65" xr3:uid="{72901725-6BD2-40D1-9005-54EF99DACB41}" name="Column65" headerRowDxfId="669" dataDxfId="668"/>
    <tableColumn id="66" xr3:uid="{18D24E66-265D-40FC-B839-C8D637334C6B}" name="Column66" headerRowDxfId="667" dataDxfId="666"/>
    <tableColumn id="67" xr3:uid="{11390CF0-7A58-4AAB-A49A-8E6452BE6639}" name="Column67" headerRowDxfId="665" dataDxfId="664"/>
    <tableColumn id="68" xr3:uid="{6FA65849-3355-4849-A279-7B5FC60F0860}" name="Column68" headerRowDxfId="663" dataDxfId="662"/>
    <tableColumn id="69" xr3:uid="{9E4AEBD6-B423-437A-B906-F22D6EFC1762}" name="Column69" headerRowDxfId="661" dataDxfId="660"/>
    <tableColumn id="70" xr3:uid="{3B005AA9-D622-49CB-A16C-490101723385}" name="Column70" headerRowDxfId="659" dataDxfId="658"/>
    <tableColumn id="71" xr3:uid="{8691CD69-D3E9-4BC0-810F-F5F882CB2AFD}" name="Column71" headerRowDxfId="657" dataDxfId="656"/>
    <tableColumn id="72" xr3:uid="{8B2CCA53-C5EE-4875-ACE7-857A12DBE47D}" name="Column72" headerRowDxfId="655" dataDxfId="654"/>
    <tableColumn id="73" xr3:uid="{12C6CC75-F757-49EE-B00B-3E46715D686D}" name="Column73" headerRowDxfId="653" dataDxfId="652"/>
    <tableColumn id="74" xr3:uid="{20AD15A3-3B0E-4DDB-BE0A-69258BCD6355}" name="Column74" headerRowDxfId="651" dataDxfId="650"/>
    <tableColumn id="75" xr3:uid="{258CEE1A-23C0-461D-82D3-2C6886F7D81A}" name="Column75" headerRowDxfId="649" dataDxfId="648"/>
    <tableColumn id="76" xr3:uid="{0CAE2C3C-3EF2-4384-832B-BD5F7B170B2B}" name="Column76" headerRowDxfId="647" dataDxfId="646"/>
    <tableColumn id="77" xr3:uid="{A74E0726-A0F1-4B53-B687-14451FA8717E}" name="Column77" headerRowDxfId="645" dataDxfId="644"/>
    <tableColumn id="78" xr3:uid="{2819757B-AF69-40BB-B068-1081B76C4002}" name="Column78" headerRowDxfId="643" dataDxfId="642"/>
    <tableColumn id="79" xr3:uid="{C3F50E1B-9B4D-491A-A582-844E60F646DD}" name="Column79" headerRowDxfId="641" dataDxfId="640"/>
    <tableColumn id="80" xr3:uid="{61D1D93F-1F3C-4C07-8F2E-A2E8FB90C314}" name="Column80" headerRowDxfId="639" dataDxfId="638"/>
    <tableColumn id="81" xr3:uid="{D8B93414-8A24-4ECD-8825-58619425881E}" name="Column81" headerRowDxfId="637" dataDxfId="636"/>
    <tableColumn id="82" xr3:uid="{1DE96CBD-B702-4A02-AF8D-9D9BF431F4C5}" name="Column82" headerRowDxfId="635" dataDxfId="634"/>
    <tableColumn id="83" xr3:uid="{A521DFED-3035-4AF2-8382-581375C31A36}" name="Column83" headerRowDxfId="633" dataDxfId="632"/>
    <tableColumn id="84" xr3:uid="{6A863D92-39BD-4FCE-8FBA-050D2A4F5FC7}" name="Column84" headerRowDxfId="631" dataDxfId="630"/>
    <tableColumn id="85" xr3:uid="{EA9F3020-9BA5-4EDB-986B-E2EB27B0B924}" name="Column85" headerRowDxfId="629" dataDxfId="628"/>
    <tableColumn id="86" xr3:uid="{04C8800F-BEBA-4843-A5D1-131B2C2A673D}" name="Column86" headerRowDxfId="627" dataDxfId="626"/>
    <tableColumn id="87" xr3:uid="{6CA744FE-CECA-4275-A32B-DAC2F766EDC8}" name="Column87" headerRowDxfId="625" dataDxfId="624"/>
    <tableColumn id="88" xr3:uid="{2260A5C1-E6C1-45C6-8395-8A851AF8A887}" name="Column88" headerRowDxfId="623" dataDxfId="622"/>
    <tableColumn id="89" xr3:uid="{99267D8B-52E9-448A-8FAF-259ADE098B85}" name="Column89" headerRowDxfId="621" dataDxfId="620"/>
    <tableColumn id="90" xr3:uid="{F0532A19-ACB7-479E-9999-120BAD818052}" name="Column90" headerRowDxfId="619" dataDxfId="618"/>
    <tableColumn id="91" xr3:uid="{0A44543E-3753-431E-AC32-95373C62ACBC}" name="Column91" headerRowDxfId="617" dataDxfId="616"/>
    <tableColumn id="92" xr3:uid="{971D6D41-E00D-4823-962E-E6302BCCC249}" name="Column92" headerRowDxfId="615" dataDxfId="614"/>
    <tableColumn id="93" xr3:uid="{89345127-3C61-443B-912D-0A00AADE25DF}" name="Column93" headerRowDxfId="613" dataDxfId="612"/>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F2919F2-C977-4A83-B393-9CB87632A533}" name="Table2268" displayName="Table2268" ref="A7:Y9" headerRowCount="0" totalsRowShown="0" headerRowDxfId="611" headerRowBorderDxfId="610" tableBorderDxfId="609" totalsRowBorderDxfId="608">
  <tableColumns count="25">
    <tableColumn id="1" xr3:uid="{E986F15C-F0D2-4549-8276-39B0187BB31E}" name="Column1" headerRowDxfId="607" dataDxfId="606"/>
    <tableColumn id="2" xr3:uid="{45159C33-A009-4C93-97D0-2B86A2AE0224}" name="Column2" headerRowDxfId="605" dataDxfId="604"/>
    <tableColumn id="3" xr3:uid="{E910B701-B546-4312-8A06-EB2D6CCB2444}" name="Column3" headerRowDxfId="603" dataDxfId="602"/>
    <tableColumn id="4" xr3:uid="{896CF209-6708-4B07-A3C0-FFB04C560884}" name="Column4" headerRowDxfId="601" dataDxfId="600"/>
    <tableColumn id="5" xr3:uid="{EC3A278F-579C-410C-854F-0499F0973469}" name="Column5" headerRowDxfId="599" dataDxfId="598"/>
    <tableColumn id="6" xr3:uid="{60AFE9F1-25E5-4751-BD30-40C005C15410}" name="Column6" headerRowDxfId="597" dataDxfId="596"/>
    <tableColumn id="7" xr3:uid="{1C82EA1A-D5C6-4F02-8142-FBF96428021A}" name="Column7" headerRowDxfId="595" dataDxfId="594"/>
    <tableColumn id="8" xr3:uid="{4039177A-3780-4CCB-8BA7-6AEB16D7BEDE}" name="Column8" headerRowDxfId="593" dataDxfId="592"/>
    <tableColumn id="9" xr3:uid="{77DB157C-EFC6-4001-A3C2-452C5528581F}" name="Column9" headerRowDxfId="591" dataDxfId="590"/>
    <tableColumn id="10" xr3:uid="{56961B81-ACE6-4BD6-B0F6-11122B662C1C}" name="Column10" headerRowDxfId="589" dataDxfId="588"/>
    <tableColumn id="11" xr3:uid="{4C10CB52-4FCC-41B6-8F63-0B83343B5069}" name="Column11" headerRowDxfId="587" dataDxfId="586"/>
    <tableColumn id="12" xr3:uid="{41D3D33F-5D97-4964-A701-599FBA717878}" name="Column12" headerRowDxfId="585" dataDxfId="584"/>
    <tableColumn id="13" xr3:uid="{A1D24B4B-E620-4130-82E3-30BCB3E787B8}" name="Column13" headerRowDxfId="583" dataDxfId="582"/>
    <tableColumn id="14" xr3:uid="{CA4025DB-D0BB-4786-BF8D-C6401D09A58A}" name="Column14" headerRowDxfId="581" dataDxfId="580"/>
    <tableColumn id="15" xr3:uid="{88348B53-0EC1-4A1C-BEBD-656CC9301DD0}" name="Column15" headerRowDxfId="579" dataDxfId="578"/>
    <tableColumn id="16" xr3:uid="{AAA0F41E-E0EC-4E33-B1E7-9857BB3AC9BF}" name="Column16" headerRowDxfId="577" dataDxfId="576"/>
    <tableColumn id="17" xr3:uid="{E76041F4-D0B3-4CEC-8BB1-60E2F4F0E154}" name="Column17" headerRowDxfId="575" dataDxfId="574"/>
    <tableColumn id="18" xr3:uid="{ADEDD0B4-B98E-44D7-8F31-B0A5A1135565}" name="Column18" headerRowDxfId="573" dataDxfId="572"/>
    <tableColumn id="19" xr3:uid="{A9978D6E-E866-4CB5-B859-EB131394DAC1}" name="Column19" headerRowDxfId="571" dataDxfId="570"/>
    <tableColumn id="20" xr3:uid="{B4ACFEC5-3FEB-4882-889F-582D4C2B6995}" name="Column20" headerRowDxfId="569" dataDxfId="568"/>
    <tableColumn id="21" xr3:uid="{73922705-B407-4CFD-A505-3FB78E4B7417}" name="Column21" headerRowDxfId="567" dataDxfId="566"/>
    <tableColumn id="22" xr3:uid="{118D803A-B08F-44A9-AD3E-6EAA8ED878A7}" name="Column22" headerRowDxfId="565" dataDxfId="564"/>
    <tableColumn id="23" xr3:uid="{0736125F-2DB5-4C02-8759-28946ACD3525}" name="Column23" headerRowDxfId="563" dataDxfId="562"/>
    <tableColumn id="24" xr3:uid="{75743493-61E3-4ECA-8975-D6D48B92677E}" name="Column24" headerRowDxfId="561" dataDxfId="560"/>
    <tableColumn id="25" xr3:uid="{AFECD7AB-E9CC-49FE-AD7F-482339D912DF}" name="Column25" headerRowDxfId="559" dataDxfId="558"/>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685EA36-11AE-4B58-B82D-CA1E5FF72B89}" name="Table3579" displayName="Table3579" ref="A11:Y16" headerRowCount="0" totalsRowShown="0" headerRowDxfId="557" headerRowBorderDxfId="556" tableBorderDxfId="555" totalsRowBorderDxfId="554">
  <tableColumns count="25">
    <tableColumn id="1" xr3:uid="{DEFE381C-3CE9-41F2-B994-521492348325}" name="Column1" headerRowDxfId="553" dataDxfId="552"/>
    <tableColumn id="3" xr3:uid="{8667CCC0-2EFF-4FE2-A995-CB969BA573A7}" name="Column3" headerRowDxfId="551" dataDxfId="550"/>
    <tableColumn id="4" xr3:uid="{B95D592B-DADD-48B1-B04B-F4047D6702CB}" name="Column4" headerRowDxfId="549" dataDxfId="548"/>
    <tableColumn id="5" xr3:uid="{BA2D3315-0494-4456-9B24-F023698C9AE8}" name="Column5" headerRowDxfId="547" dataDxfId="546"/>
    <tableColumn id="6" xr3:uid="{C26575CC-6749-4858-AD55-AD2BE4651DAD}" name="Column6" headerRowDxfId="545" dataDxfId="544"/>
    <tableColumn id="7" xr3:uid="{AA44CC47-C357-462C-A70E-8236DF5C14AD}" name="Column7" headerRowDxfId="543" dataDxfId="542"/>
    <tableColumn id="8" xr3:uid="{DCBEC3B0-E62E-45D5-A3CD-1ABDA2BA8CA1}" name="Column8" headerRowDxfId="541" dataDxfId="540"/>
    <tableColumn id="9" xr3:uid="{43CA7160-FC5D-47C1-9395-632E3F3A1AD4}" name="Column9" headerRowDxfId="539" dataDxfId="538"/>
    <tableColumn id="10" xr3:uid="{ECC31582-A550-419F-AE73-B3E4C376F38D}" name="Column10" headerRowDxfId="537" dataDxfId="536"/>
    <tableColumn id="11" xr3:uid="{ABFBE6FD-BBD3-4492-9A45-9E85F50213ED}" name="Column11" headerRowDxfId="535" dataDxfId="534"/>
    <tableColumn id="12" xr3:uid="{67C384B9-FC5F-44A6-8821-5008F2C754D4}" name="Column12" headerRowDxfId="533" dataDxfId="532"/>
    <tableColumn id="13" xr3:uid="{E309E10F-3991-43D3-AE77-AFD25DF6111F}" name="Column13" headerRowDxfId="531" dataDxfId="530"/>
    <tableColumn id="14" xr3:uid="{02583D77-FDDD-4979-BB08-F2F13E9AB2FD}" name="Column14" headerRowDxfId="529" dataDxfId="528"/>
    <tableColumn id="15" xr3:uid="{33D34CA5-EE5A-4F80-8319-0688753EC3A5}" name="Column15" headerRowDxfId="527" dataDxfId="526"/>
    <tableColumn id="16" xr3:uid="{4D25AF75-83A3-4803-B3BB-FC7F029F816A}" name="Column16" headerRowDxfId="525" dataDxfId="524"/>
    <tableColumn id="17" xr3:uid="{D8087257-0FA7-4057-A633-2AA5430CE141}" name="Column17" headerRowDxfId="523" dataDxfId="522"/>
    <tableColumn id="18" xr3:uid="{CA63B7BF-9CF5-4B65-AC74-13B50A0560DC}" name="Column18" headerRowDxfId="521" dataDxfId="520"/>
    <tableColumn id="19" xr3:uid="{6CDFB297-E47F-4FAF-9398-F297C546B5A0}" name="Column19" headerRowDxfId="519" dataDxfId="518"/>
    <tableColumn id="20" xr3:uid="{91696F1A-9A79-4340-9889-1B451177B65D}" name="Column20" headerRowDxfId="517" dataDxfId="516"/>
    <tableColumn id="2" xr3:uid="{B6A0050B-2C41-4214-8285-3E4D1B17E05A}" name="Column2" headerRowDxfId="515" dataDxfId="514"/>
    <tableColumn id="21" xr3:uid="{7BF7F30D-A5C6-44EE-B293-D2D86028CA53}" name="Column21" headerRowDxfId="513" dataDxfId="512"/>
    <tableColumn id="22" xr3:uid="{76D48931-1ABA-4A61-A3A4-7F0B1E853C22}" name="Column22" headerRowDxfId="511" dataDxfId="510"/>
    <tableColumn id="23" xr3:uid="{0B087B2D-7AAB-4E67-8F3F-DD04D93D14BF}" name="Column23" headerRowDxfId="509" dataDxfId="508"/>
    <tableColumn id="24" xr3:uid="{327B23B9-8F20-4386-8EAC-74CEDDA16995}" name="Column24" headerRowDxfId="507" dataDxfId="506"/>
    <tableColumn id="25" xr3:uid="{1C45CE3D-1DDD-44D9-BE3B-61C13D73D68E}" name="Column25" headerRowDxfId="505" dataDxfId="504"/>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503744F-C189-4545-A7B7-07DC10B00238}" name="Table22682" displayName="Table22682" ref="A7:K9" headerRowCount="0" totalsRowShown="0" headerRowDxfId="503" headerRowBorderDxfId="502" tableBorderDxfId="501" totalsRowBorderDxfId="500">
  <tableColumns count="11">
    <tableColumn id="1" xr3:uid="{87349B85-4783-45CE-9A7E-EFD65064839D}" name="Column1" headerRowDxfId="499" dataDxfId="498"/>
    <tableColumn id="2" xr3:uid="{2F010D43-8D3F-4F98-8DAA-249D2A64B143}" name="Column2" headerRowDxfId="497" dataDxfId="496"/>
    <tableColumn id="3" xr3:uid="{82B3FDE7-7D39-4589-B270-BB5054D80C0E}" name="Column3" headerRowDxfId="495" dataDxfId="494"/>
    <tableColumn id="4" xr3:uid="{B5EC462D-6491-447D-8F1F-16463024D9F5}" name="Column4" headerRowDxfId="493" dataDxfId="492"/>
    <tableColumn id="5" xr3:uid="{DB565805-C698-424A-86B3-6F181BD2A647}" name="Column5" headerRowDxfId="491" dataDxfId="490"/>
    <tableColumn id="6" xr3:uid="{116FA970-5CEF-457E-9FE2-A5575310A7DB}" name="Column6" headerRowDxfId="489" dataDxfId="488"/>
    <tableColumn id="7" xr3:uid="{98D1D3C1-FBE6-4DB0-9263-319413E4DF59}" name="Column7" headerRowDxfId="487" dataDxfId="486"/>
    <tableColumn id="8" xr3:uid="{7E79DE78-127B-4EBB-A5C7-2BAA89DEA48D}" name="Column8" headerRowDxfId="485" dataDxfId="484"/>
    <tableColumn id="9" xr3:uid="{E874E84B-7233-446C-8D39-DDBCE4EC16BE}" name="Column9" headerRowDxfId="483" dataDxfId="482"/>
    <tableColumn id="10" xr3:uid="{BD305764-A219-4A54-BF2A-6276A0473D7B}" name="Column10" headerRowDxfId="481" dataDxfId="480"/>
    <tableColumn id="11" xr3:uid="{3286E11D-DF08-4D61-B022-5A7713571A02}" name="Column11" headerRowDxfId="479" dataDxfId="478"/>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4E54162-B044-40D3-B732-CCD073BE6F31}" name="Table35793" displayName="Table35793" ref="A11:K14" headerRowCount="0" totalsRowShown="0" headerRowDxfId="477" headerRowBorderDxfId="476" tableBorderDxfId="475" totalsRowBorderDxfId="474">
  <tableColumns count="11">
    <tableColumn id="1" xr3:uid="{7E36C865-C9F2-4F32-87CD-CDB167747777}" name="Column1" headerRowDxfId="473" dataDxfId="472"/>
    <tableColumn id="2" xr3:uid="{6FDFDD79-E764-4389-BA95-687696959274}" name="Column2" headerRowDxfId="471" dataDxfId="470"/>
    <tableColumn id="3" xr3:uid="{65203AEA-DD8C-407F-AA97-654ADEFC3C30}" name="Column3" headerRowDxfId="469" dataDxfId="468"/>
    <tableColumn id="4" xr3:uid="{F73B6A84-C3D6-4D5C-97D8-236F76F3701C}" name="Column4" headerRowDxfId="467" dataDxfId="466"/>
    <tableColumn id="5" xr3:uid="{C474C9E6-DF5E-4B57-98A4-884ECDC0D583}" name="Column5" headerRowDxfId="465" dataDxfId="464"/>
    <tableColumn id="6" xr3:uid="{0DCA022D-B595-4DA0-B3B0-D6D4C9050225}" name="Column6" headerRowDxfId="463" dataDxfId="462"/>
    <tableColumn id="7" xr3:uid="{1AF5CAD1-4C4B-44C0-B63C-D4A1F163F1B4}" name="Column7" headerRowDxfId="461" dataDxfId="460"/>
    <tableColumn id="8" xr3:uid="{166D9213-9DAD-4E2E-B3CB-4B0DBE1580FD}" name="Column8" headerRowDxfId="459" dataDxfId="458"/>
    <tableColumn id="9" xr3:uid="{C7E22AD4-2072-40CD-9FED-6064275BBC17}" name="Column9" headerRowDxfId="457" dataDxfId="456"/>
    <tableColumn id="10" xr3:uid="{0D91F80C-B342-4A46-AC1A-02E7E42F883B}" name="Column10" headerRowDxfId="455" dataDxfId="454"/>
    <tableColumn id="11" xr3:uid="{9AF3D219-EC2C-4C06-B025-95B0FCB9667A}" name="Column11" headerRowDxfId="453" dataDxfId="452"/>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8E562EA-1122-4A8A-966A-A305509395FA}" name="Table226" displayName="Table226" ref="A7:K9" headerRowCount="0" totalsRowShown="0" headerRowDxfId="451" headerRowBorderDxfId="450" tableBorderDxfId="449" totalsRowBorderDxfId="448">
  <tableColumns count="11">
    <tableColumn id="1" xr3:uid="{A522E4CE-462E-4E2F-8743-2B35CFCFE89B}" name="Column1" headerRowDxfId="447" dataDxfId="446"/>
    <tableColumn id="2" xr3:uid="{49029F32-B9C0-4A90-BED9-93FD1A56B5EF}" name="Column2" headerRowDxfId="445" dataDxfId="444"/>
    <tableColumn id="3" xr3:uid="{1FF51971-66BB-4912-AE73-BCFC9AA581F0}" name="Column3" headerRowDxfId="443" dataDxfId="442"/>
    <tableColumn id="4" xr3:uid="{ED36A60E-4503-4983-8928-2C8D38F4FF97}" name="Column4" headerRowDxfId="441" dataDxfId="440"/>
    <tableColumn id="5" xr3:uid="{4090FDA1-C5E4-40DA-A475-6042F8A974EB}" name="Column5" headerRowDxfId="439" dataDxfId="438"/>
    <tableColumn id="6" xr3:uid="{9495BDC7-75B6-49C0-9C8F-64A2DE6C03AF}" name="Column6" headerRowDxfId="437" dataDxfId="436"/>
    <tableColumn id="7" xr3:uid="{8FC2AF41-319B-4A07-BD0C-D1C8D6F2E4BA}" name="Column7" headerRowDxfId="435" dataDxfId="434"/>
    <tableColumn id="8" xr3:uid="{28D9D0A3-E787-489C-9045-83D9708D1649}" name="Column8" headerRowDxfId="433" dataDxfId="432"/>
    <tableColumn id="9" xr3:uid="{0AB900A4-FCC9-4CEC-8CC2-0E4195108580}" name="Column9" headerRowDxfId="431" dataDxfId="430"/>
    <tableColumn id="10" xr3:uid="{B52C062C-30D1-4F63-A37D-D42F4BBBE185}" name="Column10" headerRowDxfId="429" dataDxfId="428"/>
    <tableColumn id="11" xr3:uid="{EAB7D11B-40C2-4655-9715-6462E821634D}" name="Column11" headerRowDxfId="427" dataDxfId="426"/>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
  <sheetViews>
    <sheetView tabSelected="1" zoomScale="90" zoomScaleNormal="90" workbookViewId="0">
      <selection activeCell="V103" sqref="V103"/>
    </sheetView>
  </sheetViews>
  <sheetFormatPr defaultRowHeight="15" x14ac:dyDescent="0.25"/>
  <sheetData/>
  <pageMargins left="0.7" right="0.7" top="0.75" bottom="0.75" header="0.3" footer="0.3"/>
  <pageSetup paperSize="9" scale="4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D8C33-B559-4833-A044-7358655D1532}">
  <sheetPr codeName="Sheet2"/>
  <dimension ref="B1:D79"/>
  <sheetViews>
    <sheetView zoomScale="75" workbookViewId="0">
      <selection activeCell="G78" sqref="G78"/>
    </sheetView>
  </sheetViews>
  <sheetFormatPr defaultRowHeight="14.25" x14ac:dyDescent="0.2"/>
  <cols>
    <col min="1" max="1" width="9.140625" style="42"/>
    <col min="2" max="2" width="48.85546875" style="42" customWidth="1"/>
    <col min="3" max="3" width="32.42578125" style="42" customWidth="1"/>
    <col min="4" max="4" width="15.85546875" style="42" customWidth="1"/>
    <col min="5" max="16384" width="9.140625" style="42"/>
  </cols>
  <sheetData>
    <row r="1" spans="2:4" ht="60.75" customHeight="1" thickBot="1" x14ac:dyDescent="0.45">
      <c r="B1" s="59" t="s">
        <v>441</v>
      </c>
    </row>
    <row r="2" spans="2:4" ht="38.25" thickBot="1" x14ac:dyDescent="0.25">
      <c r="B2" s="61" t="s">
        <v>179</v>
      </c>
      <c r="C2" s="62" t="s">
        <v>180</v>
      </c>
      <c r="D2" s="62" t="s">
        <v>181</v>
      </c>
    </row>
    <row r="3" spans="2:4" ht="19.5" customHeight="1" thickBot="1" x14ac:dyDescent="0.25">
      <c r="B3" s="88" t="s">
        <v>182</v>
      </c>
      <c r="C3" s="89"/>
      <c r="D3" s="90"/>
    </row>
    <row r="4" spans="2:4" ht="19.5" thickBot="1" x14ac:dyDescent="0.25">
      <c r="B4" s="63" t="s">
        <v>183</v>
      </c>
      <c r="C4" s="64" t="s">
        <v>184</v>
      </c>
      <c r="D4" s="65">
        <v>5</v>
      </c>
    </row>
    <row r="5" spans="2:4" ht="19.5" thickBot="1" x14ac:dyDescent="0.25">
      <c r="B5" s="66" t="s">
        <v>185</v>
      </c>
      <c r="C5" s="67" t="s">
        <v>186</v>
      </c>
      <c r="D5" s="68">
        <v>5</v>
      </c>
    </row>
    <row r="6" spans="2:4" ht="19.5" thickBot="1" x14ac:dyDescent="0.25">
      <c r="B6" s="63" t="s">
        <v>187</v>
      </c>
      <c r="C6" s="64" t="s">
        <v>188</v>
      </c>
      <c r="D6" s="65">
        <v>5</v>
      </c>
    </row>
    <row r="7" spans="2:4" ht="19.5" thickBot="1" x14ac:dyDescent="0.25">
      <c r="B7" s="66" t="s">
        <v>189</v>
      </c>
      <c r="C7" s="67" t="s">
        <v>190</v>
      </c>
      <c r="D7" s="68">
        <v>5</v>
      </c>
    </row>
    <row r="8" spans="2:4" ht="19.5" thickBot="1" x14ac:dyDescent="0.25">
      <c r="B8" s="63" t="s">
        <v>191</v>
      </c>
      <c r="C8" s="64" t="s">
        <v>192</v>
      </c>
      <c r="D8" s="65">
        <v>5</v>
      </c>
    </row>
    <row r="9" spans="2:4" ht="19.5" thickBot="1" x14ac:dyDescent="0.25">
      <c r="B9" s="66" t="s">
        <v>193</v>
      </c>
      <c r="C9" s="67" t="s">
        <v>194</v>
      </c>
      <c r="D9" s="68">
        <v>5</v>
      </c>
    </row>
    <row r="10" spans="2:4" ht="19.5" thickBot="1" x14ac:dyDescent="0.25">
      <c r="B10" s="63" t="s">
        <v>195</v>
      </c>
      <c r="C10" s="64" t="s">
        <v>196</v>
      </c>
      <c r="D10" s="65">
        <v>5</v>
      </c>
    </row>
    <row r="11" spans="2:4" ht="19.5" thickBot="1" x14ac:dyDescent="0.25">
      <c r="B11" s="66" t="s">
        <v>197</v>
      </c>
      <c r="C11" s="67" t="s">
        <v>198</v>
      </c>
      <c r="D11" s="68">
        <v>5</v>
      </c>
    </row>
    <row r="12" spans="2:4" ht="19.5" thickBot="1" x14ac:dyDescent="0.25">
      <c r="B12" s="63" t="s">
        <v>199</v>
      </c>
      <c r="C12" s="64" t="s">
        <v>200</v>
      </c>
      <c r="D12" s="65">
        <v>5</v>
      </c>
    </row>
    <row r="13" spans="2:4" ht="19.5" thickBot="1" x14ac:dyDescent="0.25">
      <c r="B13" s="66" t="s">
        <v>201</v>
      </c>
      <c r="C13" s="67" t="s">
        <v>202</v>
      </c>
      <c r="D13" s="68">
        <v>5</v>
      </c>
    </row>
    <row r="14" spans="2:4" ht="19.5" thickBot="1" x14ac:dyDescent="0.25">
      <c r="B14" s="63" t="s">
        <v>203</v>
      </c>
      <c r="C14" s="64" t="s">
        <v>204</v>
      </c>
      <c r="D14" s="65">
        <v>5</v>
      </c>
    </row>
    <row r="15" spans="2:4" ht="19.5" thickBot="1" x14ac:dyDescent="0.25">
      <c r="B15" s="66" t="s">
        <v>205</v>
      </c>
      <c r="C15" s="67" t="s">
        <v>206</v>
      </c>
      <c r="D15" s="68">
        <v>5</v>
      </c>
    </row>
    <row r="16" spans="2:4" ht="19.5" thickBot="1" x14ac:dyDescent="0.25">
      <c r="B16" s="63" t="s">
        <v>207</v>
      </c>
      <c r="C16" s="64" t="s">
        <v>208</v>
      </c>
      <c r="D16" s="65">
        <v>5</v>
      </c>
    </row>
    <row r="17" spans="2:4" ht="19.5" thickBot="1" x14ac:dyDescent="0.25">
      <c r="B17" s="66" t="s">
        <v>209</v>
      </c>
      <c r="C17" s="67" t="s">
        <v>210</v>
      </c>
      <c r="D17" s="68">
        <v>5</v>
      </c>
    </row>
    <row r="18" spans="2:4" ht="19.5" thickBot="1" x14ac:dyDescent="0.25">
      <c r="B18" s="63" t="s">
        <v>211</v>
      </c>
      <c r="C18" s="64" t="s">
        <v>212</v>
      </c>
      <c r="D18" s="65">
        <v>5</v>
      </c>
    </row>
    <row r="19" spans="2:4" ht="19.5" thickBot="1" x14ac:dyDescent="0.25">
      <c r="B19" s="66" t="s">
        <v>213</v>
      </c>
      <c r="C19" s="67" t="s">
        <v>214</v>
      </c>
      <c r="D19" s="68">
        <v>5</v>
      </c>
    </row>
    <row r="20" spans="2:4" ht="19.5" thickBot="1" x14ac:dyDescent="0.25">
      <c r="B20" s="63" t="s">
        <v>215</v>
      </c>
      <c r="C20" s="64" t="s">
        <v>216</v>
      </c>
      <c r="D20" s="65">
        <v>5</v>
      </c>
    </row>
    <row r="21" spans="2:4" ht="19.5" thickBot="1" x14ac:dyDescent="0.25">
      <c r="B21" s="66" t="s">
        <v>217</v>
      </c>
      <c r="C21" s="67" t="s">
        <v>218</v>
      </c>
      <c r="D21" s="68">
        <v>5</v>
      </c>
    </row>
    <row r="22" spans="2:4" ht="19.5" thickBot="1" x14ac:dyDescent="0.25">
      <c r="B22" s="63" t="s">
        <v>219</v>
      </c>
      <c r="C22" s="64" t="s">
        <v>220</v>
      </c>
      <c r="D22" s="65">
        <v>5</v>
      </c>
    </row>
    <row r="23" spans="2:4" ht="19.5" thickBot="1" x14ac:dyDescent="0.25">
      <c r="B23" s="66" t="s">
        <v>221</v>
      </c>
      <c r="C23" s="67" t="s">
        <v>222</v>
      </c>
      <c r="D23" s="68">
        <v>5</v>
      </c>
    </row>
    <row r="24" spans="2:4" ht="19.5" thickBot="1" x14ac:dyDescent="0.25">
      <c r="B24" s="63" t="s">
        <v>223</v>
      </c>
      <c r="C24" s="64" t="s">
        <v>224</v>
      </c>
      <c r="D24" s="65">
        <v>5</v>
      </c>
    </row>
    <row r="25" spans="2:4" ht="19.5" thickBot="1" x14ac:dyDescent="0.25">
      <c r="B25" s="66" t="s">
        <v>225</v>
      </c>
      <c r="C25" s="67" t="s">
        <v>226</v>
      </c>
      <c r="D25" s="68">
        <v>5</v>
      </c>
    </row>
    <row r="26" spans="2:4" ht="19.5" thickBot="1" x14ac:dyDescent="0.25">
      <c r="B26" s="63" t="s">
        <v>227</v>
      </c>
      <c r="C26" s="64" t="s">
        <v>228</v>
      </c>
      <c r="D26" s="65">
        <v>5</v>
      </c>
    </row>
    <row r="27" spans="2:4" ht="19.5" thickBot="1" x14ac:dyDescent="0.25">
      <c r="B27" s="66" t="s">
        <v>229</v>
      </c>
      <c r="C27" s="67" t="s">
        <v>230</v>
      </c>
      <c r="D27" s="68">
        <v>5</v>
      </c>
    </row>
    <row r="28" spans="2:4" ht="38.25" thickBot="1" x14ac:dyDescent="0.25">
      <c r="B28" s="63" t="s">
        <v>231</v>
      </c>
      <c r="C28" s="64" t="s">
        <v>232</v>
      </c>
      <c r="D28" s="65">
        <v>5</v>
      </c>
    </row>
    <row r="29" spans="2:4" ht="19.5" thickBot="1" x14ac:dyDescent="0.25">
      <c r="B29" s="66" t="s">
        <v>233</v>
      </c>
      <c r="C29" s="67" t="s">
        <v>234</v>
      </c>
      <c r="D29" s="68">
        <v>5</v>
      </c>
    </row>
    <row r="30" spans="2:4" ht="19.5" thickBot="1" x14ac:dyDescent="0.25">
      <c r="B30" s="63" t="s">
        <v>235</v>
      </c>
      <c r="C30" s="64" t="s">
        <v>236</v>
      </c>
      <c r="D30" s="65">
        <v>5</v>
      </c>
    </row>
    <row r="31" spans="2:4" ht="19.5" thickBot="1" x14ac:dyDescent="0.25">
      <c r="B31" s="66" t="s">
        <v>237</v>
      </c>
      <c r="C31" s="67" t="s">
        <v>238</v>
      </c>
      <c r="D31" s="68">
        <v>5</v>
      </c>
    </row>
    <row r="32" spans="2:4" ht="19.5" thickBot="1" x14ac:dyDescent="0.25">
      <c r="B32" s="63" t="s">
        <v>239</v>
      </c>
      <c r="C32" s="64" t="s">
        <v>240</v>
      </c>
      <c r="D32" s="65">
        <v>5</v>
      </c>
    </row>
    <row r="33" spans="2:4" ht="19.5" thickBot="1" x14ac:dyDescent="0.25">
      <c r="B33" s="66" t="s">
        <v>241</v>
      </c>
      <c r="C33" s="67" t="s">
        <v>242</v>
      </c>
      <c r="D33" s="68">
        <v>5</v>
      </c>
    </row>
    <row r="34" spans="2:4" ht="19.5" thickBot="1" x14ac:dyDescent="0.25">
      <c r="B34" s="63" t="s">
        <v>243</v>
      </c>
      <c r="C34" s="64" t="s">
        <v>244</v>
      </c>
      <c r="D34" s="65">
        <v>5</v>
      </c>
    </row>
    <row r="35" spans="2:4" ht="19.5" thickBot="1" x14ac:dyDescent="0.25">
      <c r="B35" s="66" t="s">
        <v>245</v>
      </c>
      <c r="C35" s="67" t="s">
        <v>246</v>
      </c>
      <c r="D35" s="68">
        <v>5</v>
      </c>
    </row>
    <row r="36" spans="2:4" ht="19.5" thickBot="1" x14ac:dyDescent="0.25">
      <c r="B36" s="63" t="s">
        <v>247</v>
      </c>
      <c r="C36" s="64" t="s">
        <v>248</v>
      </c>
      <c r="D36" s="65">
        <v>5</v>
      </c>
    </row>
    <row r="37" spans="2:4" ht="19.5" thickBot="1" x14ac:dyDescent="0.25">
      <c r="B37" s="66" t="s">
        <v>249</v>
      </c>
      <c r="C37" s="67" t="s">
        <v>250</v>
      </c>
      <c r="D37" s="68">
        <v>5</v>
      </c>
    </row>
    <row r="38" spans="2:4" ht="19.5" customHeight="1" thickBot="1" x14ac:dyDescent="0.25">
      <c r="B38" s="88" t="s">
        <v>251</v>
      </c>
      <c r="C38" s="89"/>
      <c r="D38" s="90"/>
    </row>
    <row r="39" spans="2:4" ht="19.5" thickBot="1" x14ac:dyDescent="0.25">
      <c r="B39" s="66" t="s">
        <v>252</v>
      </c>
      <c r="C39" s="67" t="s">
        <v>253</v>
      </c>
      <c r="D39" s="68">
        <v>15</v>
      </c>
    </row>
    <row r="40" spans="2:4" ht="19.5" thickBot="1" x14ac:dyDescent="0.25">
      <c r="B40" s="63" t="s">
        <v>254</v>
      </c>
      <c r="C40" s="64" t="s">
        <v>255</v>
      </c>
      <c r="D40" s="65">
        <v>15</v>
      </c>
    </row>
    <row r="41" spans="2:4" ht="19.5" thickBot="1" x14ac:dyDescent="0.25">
      <c r="B41" s="66" t="s">
        <v>256</v>
      </c>
      <c r="C41" s="67" t="s">
        <v>257</v>
      </c>
      <c r="D41" s="68">
        <v>15</v>
      </c>
    </row>
    <row r="42" spans="2:4" ht="19.5" thickBot="1" x14ac:dyDescent="0.25">
      <c r="B42" s="63" t="s">
        <v>258</v>
      </c>
      <c r="C42" s="64" t="s">
        <v>259</v>
      </c>
      <c r="D42" s="65">
        <v>15</v>
      </c>
    </row>
    <row r="43" spans="2:4" ht="19.5" thickBot="1" x14ac:dyDescent="0.25">
      <c r="B43" s="66" t="s">
        <v>260</v>
      </c>
      <c r="C43" s="67" t="s">
        <v>261</v>
      </c>
      <c r="D43" s="68">
        <v>15</v>
      </c>
    </row>
    <row r="44" spans="2:4" ht="19.5" thickBot="1" x14ac:dyDescent="0.25">
      <c r="B44" s="63" t="s">
        <v>262</v>
      </c>
      <c r="C44" s="64" t="s">
        <v>263</v>
      </c>
      <c r="D44" s="65">
        <v>15</v>
      </c>
    </row>
    <row r="45" spans="2:4" ht="19.5" thickBot="1" x14ac:dyDescent="0.25">
      <c r="B45" s="66" t="s">
        <v>264</v>
      </c>
      <c r="C45" s="67" t="s">
        <v>265</v>
      </c>
      <c r="D45" s="68">
        <v>15</v>
      </c>
    </row>
    <row r="46" spans="2:4" ht="19.5" thickBot="1" x14ac:dyDescent="0.25">
      <c r="B46" s="63" t="s">
        <v>266</v>
      </c>
      <c r="C46" s="64" t="s">
        <v>267</v>
      </c>
      <c r="D46" s="65">
        <v>15</v>
      </c>
    </row>
    <row r="47" spans="2:4" ht="19.5" thickBot="1" x14ac:dyDescent="0.25">
      <c r="B47" s="66" t="s">
        <v>268</v>
      </c>
      <c r="C47" s="67" t="s">
        <v>269</v>
      </c>
      <c r="D47" s="68">
        <v>15</v>
      </c>
    </row>
    <row r="48" spans="2:4" ht="19.5" thickBot="1" x14ac:dyDescent="0.25">
      <c r="B48" s="63" t="s">
        <v>270</v>
      </c>
      <c r="C48" s="64" t="s">
        <v>271</v>
      </c>
      <c r="D48" s="65">
        <v>15</v>
      </c>
    </row>
    <row r="49" spans="2:4" ht="19.5" thickBot="1" x14ac:dyDescent="0.25">
      <c r="B49" s="66" t="s">
        <v>272</v>
      </c>
      <c r="C49" s="67" t="s">
        <v>273</v>
      </c>
      <c r="D49" s="68">
        <v>15</v>
      </c>
    </row>
    <row r="50" spans="2:4" ht="19.5" thickBot="1" x14ac:dyDescent="0.25">
      <c r="B50" s="63" t="s">
        <v>274</v>
      </c>
      <c r="C50" s="64" t="s">
        <v>275</v>
      </c>
      <c r="D50" s="65">
        <v>15</v>
      </c>
    </row>
    <row r="51" spans="2:4" ht="19.5" thickBot="1" x14ac:dyDescent="0.25">
      <c r="B51" s="66" t="s">
        <v>276</v>
      </c>
      <c r="C51" s="67" t="s">
        <v>277</v>
      </c>
      <c r="D51" s="68">
        <v>15</v>
      </c>
    </row>
    <row r="52" spans="2:4" ht="19.5" thickBot="1" x14ac:dyDescent="0.25">
      <c r="B52" s="63" t="s">
        <v>278</v>
      </c>
      <c r="C52" s="64" t="s">
        <v>279</v>
      </c>
      <c r="D52" s="65">
        <v>15</v>
      </c>
    </row>
    <row r="53" spans="2:4" ht="19.5" thickBot="1" x14ac:dyDescent="0.25">
      <c r="B53" s="66" t="s">
        <v>280</v>
      </c>
      <c r="C53" s="67" t="s">
        <v>281</v>
      </c>
      <c r="D53" s="68">
        <v>15</v>
      </c>
    </row>
    <row r="54" spans="2:4" ht="19.5" thickBot="1" x14ac:dyDescent="0.25">
      <c r="B54" s="63" t="s">
        <v>282</v>
      </c>
      <c r="C54" s="64" t="s">
        <v>283</v>
      </c>
      <c r="D54" s="65">
        <v>15</v>
      </c>
    </row>
    <row r="55" spans="2:4" ht="19.5" thickBot="1" x14ac:dyDescent="0.25">
      <c r="B55" s="66" t="s">
        <v>284</v>
      </c>
      <c r="C55" s="67" t="s">
        <v>285</v>
      </c>
      <c r="D55" s="68">
        <v>15</v>
      </c>
    </row>
    <row r="56" spans="2:4" ht="19.5" thickBot="1" x14ac:dyDescent="0.25">
      <c r="B56" s="63" t="s">
        <v>286</v>
      </c>
      <c r="C56" s="64" t="s">
        <v>287</v>
      </c>
      <c r="D56" s="65">
        <v>15</v>
      </c>
    </row>
    <row r="57" spans="2:4" ht="19.5" thickBot="1" x14ac:dyDescent="0.25">
      <c r="B57" s="66" t="s">
        <v>288</v>
      </c>
      <c r="C57" s="67" t="s">
        <v>289</v>
      </c>
      <c r="D57" s="68">
        <v>15</v>
      </c>
    </row>
    <row r="58" spans="2:4" ht="19.5" thickBot="1" x14ac:dyDescent="0.25">
      <c r="B58" s="63" t="s">
        <v>290</v>
      </c>
      <c r="C58" s="64" t="s">
        <v>291</v>
      </c>
      <c r="D58" s="65">
        <v>15</v>
      </c>
    </row>
    <row r="59" spans="2:4" ht="19.5" thickBot="1" x14ac:dyDescent="0.25">
      <c r="B59" s="66" t="s">
        <v>292</v>
      </c>
      <c r="C59" s="67" t="s">
        <v>293</v>
      </c>
      <c r="D59" s="68">
        <v>15</v>
      </c>
    </row>
    <row r="60" spans="2:4" ht="19.5" thickBot="1" x14ac:dyDescent="0.25">
      <c r="B60" s="63" t="s">
        <v>294</v>
      </c>
      <c r="C60" s="64" t="s">
        <v>293</v>
      </c>
      <c r="D60" s="65">
        <v>15</v>
      </c>
    </row>
    <row r="61" spans="2:4" ht="19.5" thickBot="1" x14ac:dyDescent="0.25">
      <c r="B61" s="66" t="s">
        <v>295</v>
      </c>
      <c r="C61" s="67" t="s">
        <v>296</v>
      </c>
      <c r="D61" s="68">
        <v>15</v>
      </c>
    </row>
    <row r="62" spans="2:4" ht="19.5" thickBot="1" x14ac:dyDescent="0.25">
      <c r="B62" s="63" t="s">
        <v>297</v>
      </c>
      <c r="C62" s="64" t="s">
        <v>298</v>
      </c>
      <c r="D62" s="65">
        <v>15</v>
      </c>
    </row>
    <row r="63" spans="2:4" ht="19.5" thickBot="1" x14ac:dyDescent="0.25">
      <c r="B63" s="66" t="s">
        <v>299</v>
      </c>
      <c r="C63" s="67" t="s">
        <v>300</v>
      </c>
      <c r="D63" s="68">
        <v>15</v>
      </c>
    </row>
    <row r="64" spans="2:4" ht="19.5" customHeight="1" thickBot="1" x14ac:dyDescent="0.25">
      <c r="B64" s="88" t="s">
        <v>301</v>
      </c>
      <c r="C64" s="89"/>
      <c r="D64" s="90"/>
    </row>
    <row r="65" spans="2:4" ht="19.5" thickBot="1" x14ac:dyDescent="0.25">
      <c r="B65" s="66" t="s">
        <v>264</v>
      </c>
      <c r="C65" s="67" t="s">
        <v>267</v>
      </c>
      <c r="D65" s="68">
        <v>15</v>
      </c>
    </row>
    <row r="66" spans="2:4" ht="19.5" thickBot="1" x14ac:dyDescent="0.25">
      <c r="B66" s="63" t="s">
        <v>266</v>
      </c>
      <c r="C66" s="64" t="s">
        <v>269</v>
      </c>
      <c r="D66" s="65">
        <v>15</v>
      </c>
    </row>
    <row r="67" spans="2:4" ht="19.5" thickBot="1" x14ac:dyDescent="0.25">
      <c r="B67" s="66" t="s">
        <v>302</v>
      </c>
      <c r="C67" s="67" t="s">
        <v>303</v>
      </c>
      <c r="D67" s="68">
        <v>15</v>
      </c>
    </row>
    <row r="68" spans="2:4" ht="19.5" thickBot="1" x14ac:dyDescent="0.25">
      <c r="B68" s="63" t="s">
        <v>304</v>
      </c>
      <c r="C68" s="64" t="s">
        <v>305</v>
      </c>
      <c r="D68" s="65">
        <v>15</v>
      </c>
    </row>
    <row r="69" spans="2:4" ht="19.5" thickBot="1" x14ac:dyDescent="0.25">
      <c r="B69" s="66" t="s">
        <v>278</v>
      </c>
      <c r="C69" s="67" t="s">
        <v>306</v>
      </c>
      <c r="D69" s="68">
        <v>15</v>
      </c>
    </row>
    <row r="70" spans="2:4" ht="19.5" thickBot="1" x14ac:dyDescent="0.25">
      <c r="B70" s="63" t="s">
        <v>280</v>
      </c>
      <c r="C70" s="64" t="s">
        <v>281</v>
      </c>
      <c r="D70" s="65">
        <v>15</v>
      </c>
    </row>
    <row r="71" spans="2:4" ht="19.5" thickBot="1" x14ac:dyDescent="0.25">
      <c r="B71" s="66" t="s">
        <v>284</v>
      </c>
      <c r="C71" s="67" t="s">
        <v>285</v>
      </c>
      <c r="D71" s="68">
        <v>15</v>
      </c>
    </row>
    <row r="72" spans="2:4" ht="19.5" thickBot="1" x14ac:dyDescent="0.25">
      <c r="B72" s="63" t="s">
        <v>297</v>
      </c>
      <c r="C72" s="64" t="s">
        <v>298</v>
      </c>
      <c r="D72" s="65">
        <v>15</v>
      </c>
    </row>
    <row r="73" spans="2:4" ht="19.5" thickBot="1" x14ac:dyDescent="0.25">
      <c r="B73" s="66" t="s">
        <v>307</v>
      </c>
      <c r="C73" s="67" t="s">
        <v>308</v>
      </c>
      <c r="D73" s="68">
        <v>15</v>
      </c>
    </row>
    <row r="74" spans="2:4" ht="19.5" thickBot="1" x14ac:dyDescent="0.25">
      <c r="B74" s="63" t="s">
        <v>309</v>
      </c>
      <c r="C74" s="64" t="s">
        <v>310</v>
      </c>
      <c r="D74" s="65">
        <v>15</v>
      </c>
    </row>
    <row r="75" spans="2:4" ht="19.5" thickBot="1" x14ac:dyDescent="0.25">
      <c r="B75" s="66" t="s">
        <v>311</v>
      </c>
      <c r="C75" s="67" t="s">
        <v>312</v>
      </c>
      <c r="D75" s="68">
        <v>15</v>
      </c>
    </row>
    <row r="76" spans="2:4" ht="19.5" thickBot="1" x14ac:dyDescent="0.25">
      <c r="B76" s="63" t="s">
        <v>313</v>
      </c>
      <c r="C76" s="64" t="s">
        <v>314</v>
      </c>
      <c r="D76" s="65">
        <v>15</v>
      </c>
    </row>
    <row r="77" spans="2:4" ht="19.5" thickBot="1" x14ac:dyDescent="0.25">
      <c r="B77" s="66" t="s">
        <v>315</v>
      </c>
      <c r="C77" s="67" t="s">
        <v>316</v>
      </c>
      <c r="D77" s="68">
        <v>15</v>
      </c>
    </row>
    <row r="78" spans="2:4" ht="19.5" thickBot="1" x14ac:dyDescent="0.25">
      <c r="B78" s="63" t="s">
        <v>317</v>
      </c>
      <c r="C78" s="64" t="s">
        <v>318</v>
      </c>
      <c r="D78" s="65">
        <v>15</v>
      </c>
    </row>
    <row r="79" spans="2:4" ht="66.75" customHeight="1" thickBot="1" x14ac:dyDescent="0.25">
      <c r="B79" s="66" t="s">
        <v>319</v>
      </c>
      <c r="C79" s="67" t="s">
        <v>320</v>
      </c>
      <c r="D79" s="68">
        <v>15</v>
      </c>
    </row>
  </sheetData>
  <mergeCells count="3">
    <mergeCell ref="B3:D3"/>
    <mergeCell ref="B38:D38"/>
    <mergeCell ref="B64:D64"/>
  </mergeCells>
  <pageMargins left="0.39370078740157483" right="0.39370078740157483" top="0.78740157480314965" bottom="0.78740157480314965" header="0.51181102362204722" footer="0.51181102362204722"/>
  <pageSetup paperSize="9" orientation="portrait" horizontalDpi="300" vertic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1A0DF-0D77-4EBC-A59D-99A55DDF0BB1}">
  <sheetPr codeName="Sheet4"/>
  <dimension ref="B1:M30"/>
  <sheetViews>
    <sheetView zoomScale="75" workbookViewId="0">
      <selection activeCell="J1" sqref="J1"/>
    </sheetView>
  </sheetViews>
  <sheetFormatPr defaultRowHeight="14.25" x14ac:dyDescent="0.2"/>
  <cols>
    <col min="1" max="1" width="9.140625" style="49"/>
    <col min="2" max="2" width="12.140625" style="49" customWidth="1"/>
    <col min="3" max="3" width="15" style="49" customWidth="1"/>
    <col min="4" max="4" width="12.5703125" style="49" customWidth="1"/>
    <col min="5" max="6" width="9.140625" style="49"/>
    <col min="7" max="7" width="17.5703125" style="49" customWidth="1"/>
    <col min="8" max="8" width="17.28515625" style="49" customWidth="1"/>
    <col min="9" max="9" width="33" style="49" customWidth="1"/>
    <col min="10" max="10" width="40.7109375" style="49" customWidth="1"/>
    <col min="11" max="16384" width="9.140625" style="49"/>
  </cols>
  <sheetData>
    <row r="1" spans="2:13" ht="44.25" customHeight="1" x14ac:dyDescent="0.4">
      <c r="B1" s="58" t="s">
        <v>440</v>
      </c>
    </row>
    <row r="2" spans="2:13" ht="15" thickBot="1" x14ac:dyDescent="0.25">
      <c r="B2" s="49" t="s">
        <v>413</v>
      </c>
    </row>
    <row r="3" spans="2:13" ht="43.5" thickBot="1" x14ac:dyDescent="0.25">
      <c r="B3" s="43" t="s">
        <v>321</v>
      </c>
      <c r="C3" s="44" t="s">
        <v>322</v>
      </c>
      <c r="D3" s="44" t="s">
        <v>323</v>
      </c>
      <c r="E3" s="44" t="s">
        <v>324</v>
      </c>
      <c r="F3" s="44" t="s">
        <v>325</v>
      </c>
      <c r="G3" s="44" t="s">
        <v>326</v>
      </c>
      <c r="H3" s="44" t="s">
        <v>327</v>
      </c>
      <c r="I3" s="44" t="s">
        <v>328</v>
      </c>
      <c r="J3" s="44" t="s">
        <v>329</v>
      </c>
      <c r="M3" s="49" t="s">
        <v>414</v>
      </c>
    </row>
    <row r="4" spans="2:13" ht="45" customHeight="1" thickBot="1" x14ac:dyDescent="0.25">
      <c r="B4" s="50" t="s">
        <v>330</v>
      </c>
      <c r="C4" s="47" t="s">
        <v>331</v>
      </c>
      <c r="D4" s="48" t="s">
        <v>332</v>
      </c>
      <c r="E4" s="48">
        <v>795003</v>
      </c>
      <c r="F4" s="48">
        <v>7105981</v>
      </c>
      <c r="G4" s="48" t="s">
        <v>333</v>
      </c>
      <c r="H4" s="47" t="s">
        <v>334</v>
      </c>
      <c r="I4" s="47" t="s">
        <v>335</v>
      </c>
      <c r="J4" s="47"/>
    </row>
    <row r="5" spans="2:13" ht="42.75" customHeight="1" thickBot="1" x14ac:dyDescent="0.25">
      <c r="B5" s="51" t="s">
        <v>330</v>
      </c>
      <c r="C5" s="45" t="s">
        <v>336</v>
      </c>
      <c r="D5" s="46" t="s">
        <v>332</v>
      </c>
      <c r="E5" s="46">
        <v>789498</v>
      </c>
      <c r="F5" s="46">
        <v>7110001</v>
      </c>
      <c r="G5" s="46" t="s">
        <v>337</v>
      </c>
      <c r="H5" s="45" t="s">
        <v>338</v>
      </c>
      <c r="I5" s="45" t="s">
        <v>339</v>
      </c>
      <c r="J5" s="45" t="s">
        <v>340</v>
      </c>
    </row>
    <row r="6" spans="2:13" x14ac:dyDescent="0.2">
      <c r="B6" s="93" t="s">
        <v>330</v>
      </c>
      <c r="C6" s="91" t="s">
        <v>341</v>
      </c>
      <c r="D6" s="95" t="s">
        <v>332</v>
      </c>
      <c r="E6" s="95">
        <v>786527</v>
      </c>
      <c r="F6" s="95">
        <v>7110194</v>
      </c>
      <c r="G6" s="53" t="s">
        <v>342</v>
      </c>
      <c r="H6" s="91" t="s">
        <v>344</v>
      </c>
      <c r="I6" s="91" t="s">
        <v>345</v>
      </c>
      <c r="J6" s="91"/>
    </row>
    <row r="7" spans="2:13" ht="26.25" customHeight="1" thickBot="1" x14ac:dyDescent="0.25">
      <c r="B7" s="94"/>
      <c r="C7" s="92"/>
      <c r="D7" s="96"/>
      <c r="E7" s="96"/>
      <c r="F7" s="96"/>
      <c r="G7" s="48" t="s">
        <v>343</v>
      </c>
      <c r="H7" s="92"/>
      <c r="I7" s="92"/>
      <c r="J7" s="92"/>
    </row>
    <row r="8" spans="2:13" ht="45.75" customHeight="1" thickBot="1" x14ac:dyDescent="0.25">
      <c r="B8" s="51" t="s">
        <v>330</v>
      </c>
      <c r="C8" s="45" t="s">
        <v>346</v>
      </c>
      <c r="D8" s="46" t="s">
        <v>332</v>
      </c>
      <c r="E8" s="46">
        <v>787130</v>
      </c>
      <c r="F8" s="46">
        <v>7108005</v>
      </c>
      <c r="G8" s="46" t="s">
        <v>347</v>
      </c>
      <c r="H8" s="45" t="s">
        <v>344</v>
      </c>
      <c r="I8" s="45" t="s">
        <v>348</v>
      </c>
      <c r="J8" s="54"/>
    </row>
    <row r="9" spans="2:13" ht="42.75" customHeight="1" thickBot="1" x14ac:dyDescent="0.25">
      <c r="B9" s="50" t="s">
        <v>349</v>
      </c>
      <c r="C9" s="47" t="s">
        <v>350</v>
      </c>
      <c r="D9" s="48" t="s">
        <v>332</v>
      </c>
      <c r="E9" s="48">
        <v>789498</v>
      </c>
      <c r="F9" s="48">
        <v>7110001</v>
      </c>
      <c r="G9" s="48" t="s">
        <v>351</v>
      </c>
      <c r="H9" s="47" t="s">
        <v>352</v>
      </c>
      <c r="I9" s="47" t="s">
        <v>339</v>
      </c>
      <c r="J9" s="47" t="s">
        <v>340</v>
      </c>
    </row>
    <row r="10" spans="2:13" ht="67.5" customHeight="1" thickBot="1" x14ac:dyDescent="0.25">
      <c r="B10" s="51" t="s">
        <v>349</v>
      </c>
      <c r="C10" s="45" t="s">
        <v>353</v>
      </c>
      <c r="D10" s="46" t="s">
        <v>332</v>
      </c>
      <c r="E10" s="46">
        <v>792878</v>
      </c>
      <c r="F10" s="46">
        <v>7104734</v>
      </c>
      <c r="G10" s="46" t="s">
        <v>354</v>
      </c>
      <c r="H10" s="45" t="s">
        <v>355</v>
      </c>
      <c r="I10" s="45" t="s">
        <v>356</v>
      </c>
      <c r="J10" s="45" t="s">
        <v>357</v>
      </c>
    </row>
    <row r="11" spans="2:13" ht="69" customHeight="1" thickBot="1" x14ac:dyDescent="0.25">
      <c r="B11" s="50" t="s">
        <v>349</v>
      </c>
      <c r="C11" s="47" t="s">
        <v>358</v>
      </c>
      <c r="D11" s="48" t="s">
        <v>332</v>
      </c>
      <c r="E11" s="48">
        <v>786527</v>
      </c>
      <c r="F11" s="48">
        <v>7110194</v>
      </c>
      <c r="G11" s="48" t="s">
        <v>359</v>
      </c>
      <c r="H11" s="47" t="s">
        <v>355</v>
      </c>
      <c r="I11" s="47" t="s">
        <v>345</v>
      </c>
      <c r="J11" s="47" t="s">
        <v>357</v>
      </c>
    </row>
    <row r="12" spans="2:13" ht="73.5" customHeight="1" thickBot="1" x14ac:dyDescent="0.25">
      <c r="B12" s="51" t="s">
        <v>349</v>
      </c>
      <c r="C12" s="45" t="s">
        <v>360</v>
      </c>
      <c r="D12" s="46" t="s">
        <v>332</v>
      </c>
      <c r="E12" s="46">
        <v>787130</v>
      </c>
      <c r="F12" s="46">
        <v>7108005</v>
      </c>
      <c r="G12" s="46" t="s">
        <v>361</v>
      </c>
      <c r="H12" s="45" t="s">
        <v>355</v>
      </c>
      <c r="I12" s="45" t="s">
        <v>348</v>
      </c>
      <c r="J12" s="45" t="s">
        <v>357</v>
      </c>
    </row>
    <row r="13" spans="2:13" ht="65.25" customHeight="1" thickBot="1" x14ac:dyDescent="0.25">
      <c r="B13" s="50" t="s">
        <v>349</v>
      </c>
      <c r="C13" s="47" t="s">
        <v>362</v>
      </c>
      <c r="D13" s="48" t="s">
        <v>332</v>
      </c>
      <c r="E13" s="48">
        <v>785498</v>
      </c>
      <c r="F13" s="48">
        <v>7104694</v>
      </c>
      <c r="G13" s="48" t="s">
        <v>363</v>
      </c>
      <c r="H13" s="47" t="s">
        <v>355</v>
      </c>
      <c r="I13" s="47" t="s">
        <v>364</v>
      </c>
      <c r="J13" s="47" t="s">
        <v>357</v>
      </c>
    </row>
    <row r="14" spans="2:13" ht="67.5" customHeight="1" thickBot="1" x14ac:dyDescent="0.25">
      <c r="B14" s="51" t="s">
        <v>349</v>
      </c>
      <c r="C14" s="45" t="s">
        <v>365</v>
      </c>
      <c r="D14" s="46" t="s">
        <v>332</v>
      </c>
      <c r="E14" s="46">
        <v>788811</v>
      </c>
      <c r="F14" s="46">
        <v>7117095</v>
      </c>
      <c r="G14" s="46" t="s">
        <v>366</v>
      </c>
      <c r="H14" s="45" t="s">
        <v>355</v>
      </c>
      <c r="I14" s="45" t="s">
        <v>367</v>
      </c>
      <c r="J14" s="45" t="s">
        <v>357</v>
      </c>
    </row>
    <row r="15" spans="2:13" ht="38.25" customHeight="1" x14ac:dyDescent="0.2">
      <c r="B15" s="93" t="s">
        <v>349</v>
      </c>
      <c r="C15" s="91" t="s">
        <v>368</v>
      </c>
      <c r="D15" s="95" t="s">
        <v>332</v>
      </c>
      <c r="E15" s="95">
        <v>780693</v>
      </c>
      <c r="F15" s="95">
        <v>7120994</v>
      </c>
      <c r="G15" s="53" t="s">
        <v>369</v>
      </c>
      <c r="H15" s="91" t="s">
        <v>344</v>
      </c>
      <c r="I15" s="91" t="s">
        <v>371</v>
      </c>
      <c r="J15" s="91" t="s">
        <v>357</v>
      </c>
    </row>
    <row r="16" spans="2:13" ht="15" thickBot="1" x14ac:dyDescent="0.25">
      <c r="B16" s="94"/>
      <c r="C16" s="92"/>
      <c r="D16" s="96"/>
      <c r="E16" s="96"/>
      <c r="F16" s="96"/>
      <c r="G16" s="48" t="s">
        <v>370</v>
      </c>
      <c r="H16" s="92"/>
      <c r="I16" s="92"/>
      <c r="J16" s="92"/>
    </row>
    <row r="17" spans="2:10" ht="61.5" customHeight="1" thickBot="1" x14ac:dyDescent="0.25">
      <c r="B17" s="51" t="s">
        <v>349</v>
      </c>
      <c r="C17" s="45" t="s">
        <v>372</v>
      </c>
      <c r="D17" s="46" t="s">
        <v>373</v>
      </c>
      <c r="E17" s="46">
        <v>789846.8</v>
      </c>
      <c r="F17" s="46">
        <v>7104224</v>
      </c>
      <c r="G17" s="46" t="s">
        <v>374</v>
      </c>
      <c r="H17" s="45" t="s">
        <v>375</v>
      </c>
      <c r="I17" s="45" t="s">
        <v>376</v>
      </c>
      <c r="J17" s="45" t="s">
        <v>357</v>
      </c>
    </row>
    <row r="18" spans="2:10" ht="49.5" customHeight="1" thickBot="1" x14ac:dyDescent="0.25">
      <c r="B18" s="50" t="s">
        <v>349</v>
      </c>
      <c r="C18" s="47" t="s">
        <v>377</v>
      </c>
      <c r="D18" s="48" t="s">
        <v>373</v>
      </c>
      <c r="E18" s="48">
        <v>791924.4</v>
      </c>
      <c r="F18" s="48">
        <v>7112863</v>
      </c>
      <c r="G18" s="48" t="s">
        <v>378</v>
      </c>
      <c r="H18" s="47" t="s">
        <v>338</v>
      </c>
      <c r="I18" s="47" t="s">
        <v>379</v>
      </c>
      <c r="J18" s="47" t="s">
        <v>357</v>
      </c>
    </row>
    <row r="19" spans="2:10" ht="65.25" customHeight="1" thickBot="1" x14ac:dyDescent="0.25">
      <c r="B19" s="51" t="s">
        <v>349</v>
      </c>
      <c r="C19" s="45" t="s">
        <v>380</v>
      </c>
      <c r="D19" s="46" t="s">
        <v>373</v>
      </c>
      <c r="E19" s="46">
        <v>791928.8</v>
      </c>
      <c r="F19" s="46">
        <v>7112863</v>
      </c>
      <c r="G19" s="46" t="s">
        <v>381</v>
      </c>
      <c r="H19" s="45" t="s">
        <v>355</v>
      </c>
      <c r="I19" s="45" t="s">
        <v>379</v>
      </c>
      <c r="J19" s="45" t="s">
        <v>357</v>
      </c>
    </row>
    <row r="20" spans="2:10" ht="46.5" customHeight="1" thickBot="1" x14ac:dyDescent="0.25">
      <c r="B20" s="50" t="s">
        <v>349</v>
      </c>
      <c r="C20" s="47" t="s">
        <v>382</v>
      </c>
      <c r="D20" s="48" t="s">
        <v>373</v>
      </c>
      <c r="E20" s="48">
        <v>793453.6</v>
      </c>
      <c r="F20" s="48">
        <v>7112027</v>
      </c>
      <c r="G20" s="48" t="s">
        <v>383</v>
      </c>
      <c r="H20" s="47" t="s">
        <v>338</v>
      </c>
      <c r="I20" s="47" t="s">
        <v>384</v>
      </c>
      <c r="J20" s="47" t="s">
        <v>357</v>
      </c>
    </row>
    <row r="21" spans="2:10" ht="55.5" customHeight="1" thickBot="1" x14ac:dyDescent="0.25">
      <c r="B21" s="51" t="s">
        <v>349</v>
      </c>
      <c r="C21" s="45" t="s">
        <v>385</v>
      </c>
      <c r="D21" s="46" t="s">
        <v>373</v>
      </c>
      <c r="E21" s="46">
        <v>794590</v>
      </c>
      <c r="F21" s="46">
        <v>7107644</v>
      </c>
      <c r="G21" s="46" t="s">
        <v>386</v>
      </c>
      <c r="H21" s="45" t="s">
        <v>352</v>
      </c>
      <c r="I21" s="45" t="s">
        <v>387</v>
      </c>
      <c r="J21" s="45" t="s">
        <v>357</v>
      </c>
    </row>
    <row r="22" spans="2:10" ht="50.25" customHeight="1" thickBot="1" x14ac:dyDescent="0.25">
      <c r="B22" s="50" t="s">
        <v>349</v>
      </c>
      <c r="C22" s="47" t="s">
        <v>388</v>
      </c>
      <c r="D22" s="48" t="s">
        <v>373</v>
      </c>
      <c r="E22" s="48">
        <v>787706</v>
      </c>
      <c r="F22" s="48">
        <v>7113343</v>
      </c>
      <c r="G22" s="48" t="s">
        <v>389</v>
      </c>
      <c r="H22" s="47" t="s">
        <v>338</v>
      </c>
      <c r="I22" s="47" t="s">
        <v>390</v>
      </c>
      <c r="J22" s="47" t="s">
        <v>357</v>
      </c>
    </row>
    <row r="23" spans="2:10" ht="56.25" customHeight="1" thickBot="1" x14ac:dyDescent="0.25">
      <c r="B23" s="51" t="s">
        <v>391</v>
      </c>
      <c r="C23" s="45" t="s">
        <v>392</v>
      </c>
      <c r="D23" s="46" t="s">
        <v>373</v>
      </c>
      <c r="E23" s="46">
        <v>768008.1</v>
      </c>
      <c r="F23" s="46">
        <v>7122594</v>
      </c>
      <c r="G23" s="46" t="s">
        <v>393</v>
      </c>
      <c r="H23" s="45" t="s">
        <v>393</v>
      </c>
      <c r="I23" s="45" t="s">
        <v>394</v>
      </c>
      <c r="J23" s="45" t="s">
        <v>395</v>
      </c>
    </row>
    <row r="24" spans="2:10" ht="59.25" customHeight="1" thickBot="1" x14ac:dyDescent="0.25">
      <c r="B24" s="50" t="s">
        <v>391</v>
      </c>
      <c r="C24" s="47" t="s">
        <v>396</v>
      </c>
      <c r="D24" s="48" t="s">
        <v>373</v>
      </c>
      <c r="E24" s="48">
        <v>772235.4</v>
      </c>
      <c r="F24" s="48">
        <v>7123082</v>
      </c>
      <c r="G24" s="48" t="s">
        <v>393</v>
      </c>
      <c r="H24" s="47" t="s">
        <v>393</v>
      </c>
      <c r="I24" s="47" t="s">
        <v>397</v>
      </c>
      <c r="J24" s="47" t="s">
        <v>398</v>
      </c>
    </row>
    <row r="25" spans="2:10" ht="52.5" customHeight="1" thickBot="1" x14ac:dyDescent="0.25">
      <c r="B25" s="51" t="s">
        <v>391</v>
      </c>
      <c r="C25" s="45" t="s">
        <v>399</v>
      </c>
      <c r="D25" s="46" t="s">
        <v>373</v>
      </c>
      <c r="E25" s="46">
        <v>777926.1</v>
      </c>
      <c r="F25" s="46">
        <v>7113781</v>
      </c>
      <c r="G25" s="46" t="s">
        <v>393</v>
      </c>
      <c r="H25" s="45" t="s">
        <v>393</v>
      </c>
      <c r="I25" s="45" t="s">
        <v>400</v>
      </c>
      <c r="J25" s="45" t="s">
        <v>401</v>
      </c>
    </row>
    <row r="26" spans="2:10" ht="53.25" customHeight="1" thickBot="1" x14ac:dyDescent="0.25">
      <c r="B26" s="50" t="s">
        <v>391</v>
      </c>
      <c r="C26" s="47" t="s">
        <v>402</v>
      </c>
      <c r="D26" s="48" t="s">
        <v>373</v>
      </c>
      <c r="E26" s="48">
        <v>779129.2</v>
      </c>
      <c r="F26" s="48">
        <v>7119440</v>
      </c>
      <c r="G26" s="48" t="s">
        <v>393</v>
      </c>
      <c r="H26" s="47" t="s">
        <v>393</v>
      </c>
      <c r="I26" s="47" t="s">
        <v>371</v>
      </c>
      <c r="J26" s="47" t="s">
        <v>403</v>
      </c>
    </row>
    <row r="27" spans="2:10" ht="62.25" customHeight="1" thickBot="1" x14ac:dyDescent="0.25">
      <c r="B27" s="51" t="s">
        <v>391</v>
      </c>
      <c r="C27" s="45" t="s">
        <v>404</v>
      </c>
      <c r="D27" s="46" t="s">
        <v>373</v>
      </c>
      <c r="E27" s="46">
        <v>783291.5</v>
      </c>
      <c r="F27" s="46">
        <v>7118887</v>
      </c>
      <c r="G27" s="46" t="s">
        <v>393</v>
      </c>
      <c r="H27" s="45" t="s">
        <v>393</v>
      </c>
      <c r="I27" s="45" t="s">
        <v>405</v>
      </c>
      <c r="J27" s="45" t="s">
        <v>403</v>
      </c>
    </row>
    <row r="28" spans="2:10" ht="53.25" customHeight="1" thickBot="1" x14ac:dyDescent="0.25">
      <c r="B28" s="50" t="s">
        <v>391</v>
      </c>
      <c r="C28" s="47" t="s">
        <v>406</v>
      </c>
      <c r="D28" s="48" t="s">
        <v>373</v>
      </c>
      <c r="E28" s="48">
        <v>774349.1</v>
      </c>
      <c r="F28" s="48">
        <v>7122952</v>
      </c>
      <c r="G28" s="48" t="s">
        <v>393</v>
      </c>
      <c r="H28" s="47" t="s">
        <v>393</v>
      </c>
      <c r="I28" s="47" t="s">
        <v>407</v>
      </c>
      <c r="J28" s="47" t="s">
        <v>398</v>
      </c>
    </row>
    <row r="29" spans="2:10" ht="53.25" customHeight="1" thickBot="1" x14ac:dyDescent="0.25">
      <c r="B29" s="51" t="s">
        <v>391</v>
      </c>
      <c r="C29" s="45" t="s">
        <v>408</v>
      </c>
      <c r="D29" s="46" t="s">
        <v>373</v>
      </c>
      <c r="E29" s="46">
        <v>777113.1</v>
      </c>
      <c r="F29" s="46">
        <v>7118204</v>
      </c>
      <c r="G29" s="46" t="s">
        <v>393</v>
      </c>
      <c r="H29" s="45" t="s">
        <v>393</v>
      </c>
      <c r="I29" s="45" t="s">
        <v>409</v>
      </c>
      <c r="J29" s="45" t="s">
        <v>398</v>
      </c>
    </row>
    <row r="30" spans="2:10" ht="57" customHeight="1" thickBot="1" x14ac:dyDescent="0.25">
      <c r="B30" s="50" t="s">
        <v>391</v>
      </c>
      <c r="C30" s="47" t="s">
        <v>410</v>
      </c>
      <c r="D30" s="48" t="s">
        <v>373</v>
      </c>
      <c r="E30" s="48">
        <v>798737.5</v>
      </c>
      <c r="F30" s="48">
        <v>7104026</v>
      </c>
      <c r="G30" s="48" t="s">
        <v>393</v>
      </c>
      <c r="H30" s="47" t="s">
        <v>393</v>
      </c>
      <c r="I30" s="47" t="s">
        <v>411</v>
      </c>
      <c r="J30" s="47" t="s">
        <v>412</v>
      </c>
    </row>
  </sheetData>
  <mergeCells count="16">
    <mergeCell ref="I6:I7"/>
    <mergeCell ref="J6:J7"/>
    <mergeCell ref="B15:B16"/>
    <mergeCell ref="C15:C16"/>
    <mergeCell ref="D15:D16"/>
    <mergeCell ref="E15:E16"/>
    <mergeCell ref="F15:F16"/>
    <mergeCell ref="H15:H16"/>
    <mergeCell ref="I15:I16"/>
    <mergeCell ref="J15:J16"/>
    <mergeCell ref="B6:B7"/>
    <mergeCell ref="C6:C7"/>
    <mergeCell ref="D6:D7"/>
    <mergeCell ref="E6:E7"/>
    <mergeCell ref="F6:F7"/>
    <mergeCell ref="H6:H7"/>
  </mergeCells>
  <pageMargins left="0.39370078740157483" right="0.39370078740157483" top="0.78740157480314965" bottom="0.78740157480314965" header="0.51181102362204722" footer="0.51181102362204722"/>
  <pageSetup paperSize="9" orientation="portrait" horizontalDpi="300" verticalDpi="4294967292"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4DF81-DD12-45A4-80DE-D80933591E70}">
  <sheetPr codeName="Sheet12"/>
  <dimension ref="B1:J13"/>
  <sheetViews>
    <sheetView zoomScale="75" workbookViewId="0">
      <selection activeCell="B1" sqref="B1"/>
    </sheetView>
  </sheetViews>
  <sheetFormatPr defaultRowHeight="14.25" x14ac:dyDescent="0.2"/>
  <cols>
    <col min="1" max="1" width="9.140625" style="49"/>
    <col min="2" max="2" width="17" style="49" customWidth="1"/>
    <col min="3" max="3" width="9.140625" style="49"/>
    <col min="4" max="4" width="13" style="49" customWidth="1"/>
    <col min="5" max="5" width="12.42578125" style="49" customWidth="1"/>
    <col min="6" max="6" width="13.5703125" style="49" customWidth="1"/>
    <col min="7" max="7" width="13.140625" style="49" customWidth="1"/>
    <col min="8" max="8" width="13" style="49" customWidth="1"/>
    <col min="9" max="9" width="19" style="49" customWidth="1"/>
    <col min="10" max="10" width="42.7109375" style="49" customWidth="1"/>
    <col min="11" max="16384" width="9.140625" style="49"/>
  </cols>
  <sheetData>
    <row r="1" spans="2:10" ht="57.75" customHeight="1" thickBot="1" x14ac:dyDescent="0.45">
      <c r="B1" s="58" t="s">
        <v>439</v>
      </c>
    </row>
    <row r="2" spans="2:10" ht="15" thickBot="1" x14ac:dyDescent="0.25">
      <c r="B2" s="97" t="s">
        <v>415</v>
      </c>
      <c r="C2" s="97" t="s">
        <v>416</v>
      </c>
      <c r="D2" s="100" t="s">
        <v>417</v>
      </c>
      <c r="E2" s="101"/>
      <c r="F2" s="101"/>
      <c r="G2" s="102"/>
      <c r="H2" s="100" t="s">
        <v>418</v>
      </c>
      <c r="I2" s="102"/>
      <c r="J2" s="97" t="s">
        <v>419</v>
      </c>
    </row>
    <row r="3" spans="2:10" ht="15" thickBot="1" x14ac:dyDescent="0.25">
      <c r="B3" s="98"/>
      <c r="C3" s="98"/>
      <c r="D3" s="103" t="s">
        <v>420</v>
      </c>
      <c r="E3" s="104"/>
      <c r="F3" s="104"/>
      <c r="G3" s="104"/>
      <c r="H3" s="104"/>
      <c r="I3" s="105"/>
      <c r="J3" s="98"/>
    </row>
    <row r="4" spans="2:10" ht="29.25" thickBot="1" x14ac:dyDescent="0.25">
      <c r="B4" s="98"/>
      <c r="C4" s="98"/>
      <c r="D4" s="103" t="s">
        <v>421</v>
      </c>
      <c r="E4" s="104"/>
      <c r="F4" s="104"/>
      <c r="G4" s="105"/>
      <c r="H4" s="55" t="s">
        <v>355</v>
      </c>
      <c r="I4" s="55" t="s">
        <v>421</v>
      </c>
      <c r="J4" s="98"/>
    </row>
    <row r="5" spans="2:10" ht="15" thickBot="1" x14ac:dyDescent="0.25">
      <c r="B5" s="98"/>
      <c r="C5" s="98"/>
      <c r="D5" s="103" t="s">
        <v>422</v>
      </c>
      <c r="E5" s="104"/>
      <c r="F5" s="104"/>
      <c r="G5" s="105"/>
      <c r="H5" s="106" t="s">
        <v>423</v>
      </c>
      <c r="I5" s="107"/>
      <c r="J5" s="98"/>
    </row>
    <row r="6" spans="2:10" ht="15" thickBot="1" x14ac:dyDescent="0.25">
      <c r="B6" s="99"/>
      <c r="C6" s="99"/>
      <c r="D6" s="55" t="s">
        <v>341</v>
      </c>
      <c r="E6" s="55" t="s">
        <v>346</v>
      </c>
      <c r="F6" s="55" t="s">
        <v>331</v>
      </c>
      <c r="G6" s="55" t="s">
        <v>336</v>
      </c>
      <c r="H6" s="108"/>
      <c r="I6" s="109"/>
      <c r="J6" s="99"/>
    </row>
    <row r="7" spans="2:10" ht="15" thickBot="1" x14ac:dyDescent="0.25">
      <c r="B7" s="50" t="s">
        <v>424</v>
      </c>
      <c r="C7" s="47" t="s">
        <v>425</v>
      </c>
      <c r="D7" s="56">
        <v>45541</v>
      </c>
      <c r="E7" s="56">
        <v>45541</v>
      </c>
      <c r="F7" s="56">
        <v>45541</v>
      </c>
      <c r="G7" s="56">
        <v>45541</v>
      </c>
      <c r="H7" s="56">
        <v>45541</v>
      </c>
      <c r="I7" s="56">
        <v>45541</v>
      </c>
      <c r="J7" s="47" t="s">
        <v>426</v>
      </c>
    </row>
    <row r="8" spans="2:10" ht="15" thickBot="1" x14ac:dyDescent="0.25">
      <c r="B8" s="51" t="s">
        <v>427</v>
      </c>
      <c r="C8" s="45" t="s">
        <v>428</v>
      </c>
      <c r="D8" s="57">
        <v>5795</v>
      </c>
      <c r="E8" s="57">
        <v>16965</v>
      </c>
      <c r="F8" s="57">
        <v>20435</v>
      </c>
      <c r="G8" s="57">
        <v>18455</v>
      </c>
      <c r="H8" s="57">
        <v>20115</v>
      </c>
      <c r="I8" s="57">
        <v>26375</v>
      </c>
      <c r="J8" s="45" t="s">
        <v>426</v>
      </c>
    </row>
    <row r="9" spans="2:10" ht="73.5" customHeight="1" thickBot="1" x14ac:dyDescent="0.25">
      <c r="B9" s="50" t="s">
        <v>429</v>
      </c>
      <c r="C9" s="47" t="s">
        <v>430</v>
      </c>
      <c r="D9" s="47">
        <v>500</v>
      </c>
      <c r="E9" s="47">
        <v>500</v>
      </c>
      <c r="F9" s="47">
        <v>500</v>
      </c>
      <c r="G9" s="47">
        <v>500</v>
      </c>
      <c r="H9" s="47">
        <v>500</v>
      </c>
      <c r="I9" s="47">
        <v>500</v>
      </c>
      <c r="J9" s="47" t="s">
        <v>431</v>
      </c>
    </row>
    <row r="10" spans="2:10" ht="72" customHeight="1" thickBot="1" x14ac:dyDescent="0.25">
      <c r="B10" s="51" t="s">
        <v>432</v>
      </c>
      <c r="C10" s="45" t="s">
        <v>433</v>
      </c>
      <c r="D10" s="45">
        <v>55</v>
      </c>
      <c r="E10" s="45">
        <v>55</v>
      </c>
      <c r="F10" s="45">
        <v>55</v>
      </c>
      <c r="G10" s="45">
        <v>55</v>
      </c>
      <c r="H10" s="45">
        <v>55</v>
      </c>
      <c r="I10" s="45">
        <v>55</v>
      </c>
      <c r="J10" s="45" t="s">
        <v>434</v>
      </c>
    </row>
    <row r="11" spans="2:10" ht="65.25" customHeight="1" thickBot="1" x14ac:dyDescent="0.25">
      <c r="B11" s="50" t="s">
        <v>435</v>
      </c>
      <c r="C11" s="47" t="s">
        <v>433</v>
      </c>
      <c r="D11" s="47">
        <v>300</v>
      </c>
      <c r="E11" s="47">
        <v>475</v>
      </c>
      <c r="F11" s="47">
        <v>880</v>
      </c>
      <c r="G11" s="47">
        <v>1780</v>
      </c>
      <c r="H11" s="47">
        <v>300</v>
      </c>
      <c r="I11" s="47">
        <v>300</v>
      </c>
      <c r="J11" s="47" t="s">
        <v>436</v>
      </c>
    </row>
    <row r="12" spans="2:10" ht="60.75" customHeight="1" thickBot="1" x14ac:dyDescent="0.25">
      <c r="B12" s="51" t="s">
        <v>437</v>
      </c>
      <c r="C12" s="45" t="s">
        <v>433</v>
      </c>
      <c r="D12" s="45">
        <v>24</v>
      </c>
      <c r="E12" s="45">
        <v>24</v>
      </c>
      <c r="F12" s="45">
        <v>24</v>
      </c>
      <c r="G12" s="45">
        <v>24</v>
      </c>
      <c r="H12" s="45">
        <v>24</v>
      </c>
      <c r="I12" s="45">
        <v>24</v>
      </c>
      <c r="J12" s="45" t="s">
        <v>434</v>
      </c>
    </row>
    <row r="13" spans="2:10" ht="63" customHeight="1" thickBot="1" x14ac:dyDescent="0.25">
      <c r="B13" s="50" t="s">
        <v>438</v>
      </c>
      <c r="C13" s="47" t="s">
        <v>433</v>
      </c>
      <c r="D13" s="47">
        <v>11</v>
      </c>
      <c r="E13" s="47">
        <v>11</v>
      </c>
      <c r="F13" s="47">
        <v>11</v>
      </c>
      <c r="G13" s="47">
        <v>11</v>
      </c>
      <c r="H13" s="47">
        <v>11</v>
      </c>
      <c r="I13" s="47">
        <v>11</v>
      </c>
      <c r="J13" s="47" t="s">
        <v>434</v>
      </c>
    </row>
  </sheetData>
  <mergeCells count="9">
    <mergeCell ref="B2:B6"/>
    <mergeCell ref="C2:C6"/>
    <mergeCell ref="D2:G2"/>
    <mergeCell ref="H2:I2"/>
    <mergeCell ref="J2:J6"/>
    <mergeCell ref="D3:I3"/>
    <mergeCell ref="D4:G4"/>
    <mergeCell ref="D5:G5"/>
    <mergeCell ref="H5:I6"/>
  </mergeCells>
  <pageMargins left="0.39370078740157483" right="0.39370078740157483" top="0.78740157480314965" bottom="0.78740157480314965" header="0.51181102362204722" footer="0.51181102362204722"/>
  <pageSetup paperSize="9" orientation="portrait" horizontalDpi="300" vertic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AF7B8-B146-40D8-A99D-B51FCDD57A2A}">
  <sheetPr codeName="Sheet13"/>
  <dimension ref="B1:I22"/>
  <sheetViews>
    <sheetView zoomScale="75" workbookViewId="0">
      <selection activeCell="M4" sqref="M4"/>
    </sheetView>
  </sheetViews>
  <sheetFormatPr defaultRowHeight="14.25" x14ac:dyDescent="0.2"/>
  <cols>
    <col min="1" max="1" width="9.140625" style="49"/>
    <col min="2" max="2" width="11" style="49" customWidth="1"/>
    <col min="3" max="3" width="17.28515625" style="49" customWidth="1"/>
    <col min="4" max="4" width="18.140625" style="49" customWidth="1"/>
    <col min="5" max="5" width="16.5703125" style="49" customWidth="1"/>
    <col min="6" max="6" width="15.42578125" style="49" customWidth="1"/>
    <col min="7" max="7" width="63.5703125" style="49" customWidth="1"/>
    <col min="8" max="16384" width="9.140625" style="49"/>
  </cols>
  <sheetData>
    <row r="1" spans="2:9" ht="51" customHeight="1" x14ac:dyDescent="0.4">
      <c r="B1" s="58" t="s">
        <v>476</v>
      </c>
    </row>
    <row r="2" spans="2:9" ht="15" thickBot="1" x14ac:dyDescent="0.25">
      <c r="B2" s="49" t="s">
        <v>475</v>
      </c>
    </row>
    <row r="3" spans="2:9" ht="15" thickBot="1" x14ac:dyDescent="0.25">
      <c r="B3" s="43" t="s">
        <v>442</v>
      </c>
      <c r="C3" s="44" t="s">
        <v>322</v>
      </c>
      <c r="D3" s="44" t="s">
        <v>443</v>
      </c>
      <c r="E3" s="44" t="s">
        <v>444</v>
      </c>
      <c r="F3" s="44" t="s">
        <v>445</v>
      </c>
      <c r="G3" s="44" t="s">
        <v>328</v>
      </c>
      <c r="I3" s="49" t="s">
        <v>477</v>
      </c>
    </row>
    <row r="4" spans="2:9" ht="49.5" customHeight="1" thickBot="1" x14ac:dyDescent="0.25">
      <c r="B4" s="50">
        <v>332504</v>
      </c>
      <c r="C4" s="47" t="s">
        <v>446</v>
      </c>
      <c r="D4" s="47">
        <v>797837</v>
      </c>
      <c r="E4" s="47">
        <v>7106415</v>
      </c>
      <c r="F4" s="47" t="s">
        <v>447</v>
      </c>
      <c r="G4" s="47" t="s">
        <v>448</v>
      </c>
    </row>
    <row r="5" spans="2:9" ht="78" customHeight="1" thickBot="1" x14ac:dyDescent="0.25">
      <c r="B5" s="51">
        <v>332503</v>
      </c>
      <c r="C5" s="45" t="s">
        <v>449</v>
      </c>
      <c r="D5" s="45">
        <v>790608</v>
      </c>
      <c r="E5" s="45">
        <v>7115035</v>
      </c>
      <c r="F5" s="45" t="s">
        <v>447</v>
      </c>
      <c r="G5" s="45" t="s">
        <v>450</v>
      </c>
    </row>
    <row r="6" spans="2:9" ht="66" customHeight="1" x14ac:dyDescent="0.2">
      <c r="B6" s="93">
        <v>332509</v>
      </c>
      <c r="C6" s="91" t="s">
        <v>451</v>
      </c>
      <c r="D6" s="91">
        <v>792840</v>
      </c>
      <c r="E6" s="91">
        <v>7107024</v>
      </c>
      <c r="F6" s="91" t="s">
        <v>447</v>
      </c>
      <c r="G6" s="52" t="s">
        <v>452</v>
      </c>
    </row>
    <row r="7" spans="2:9" ht="67.5" customHeight="1" thickBot="1" x14ac:dyDescent="0.25">
      <c r="B7" s="94"/>
      <c r="C7" s="92"/>
      <c r="D7" s="92"/>
      <c r="E7" s="92"/>
      <c r="F7" s="92"/>
      <c r="G7" s="47" t="s">
        <v>453</v>
      </c>
    </row>
    <row r="8" spans="2:9" ht="77.25" customHeight="1" x14ac:dyDescent="0.2">
      <c r="B8" s="110">
        <v>332510</v>
      </c>
      <c r="C8" s="112" t="s">
        <v>454</v>
      </c>
      <c r="D8" s="112">
        <v>792942</v>
      </c>
      <c r="E8" s="112">
        <v>7112749</v>
      </c>
      <c r="F8" s="112" t="s">
        <v>447</v>
      </c>
      <c r="G8" s="60" t="s">
        <v>455</v>
      </c>
    </row>
    <row r="9" spans="2:9" ht="63.75" customHeight="1" thickBot="1" x14ac:dyDescent="0.25">
      <c r="B9" s="111"/>
      <c r="C9" s="113"/>
      <c r="D9" s="113"/>
      <c r="E9" s="113"/>
      <c r="F9" s="113"/>
      <c r="G9" s="45" t="s">
        <v>456</v>
      </c>
    </row>
    <row r="10" spans="2:9" ht="33" customHeight="1" x14ac:dyDescent="0.2">
      <c r="B10" s="93">
        <v>332505</v>
      </c>
      <c r="C10" s="91" t="s">
        <v>457</v>
      </c>
      <c r="D10" s="91">
        <v>785189</v>
      </c>
      <c r="E10" s="91">
        <v>7104126</v>
      </c>
      <c r="F10" s="91" t="s">
        <v>447</v>
      </c>
      <c r="G10" s="52" t="s">
        <v>458</v>
      </c>
    </row>
    <row r="11" spans="2:9" ht="39" customHeight="1" thickBot="1" x14ac:dyDescent="0.25">
      <c r="B11" s="94"/>
      <c r="C11" s="92"/>
      <c r="D11" s="92"/>
      <c r="E11" s="92"/>
      <c r="F11" s="92"/>
      <c r="G11" s="47" t="s">
        <v>459</v>
      </c>
    </row>
    <row r="12" spans="2:9" x14ac:dyDescent="0.2">
      <c r="B12" s="110">
        <v>332501</v>
      </c>
      <c r="C12" s="112" t="s">
        <v>460</v>
      </c>
      <c r="D12" s="112">
        <v>786786</v>
      </c>
      <c r="E12" s="112">
        <v>7110999</v>
      </c>
      <c r="F12" s="112" t="s">
        <v>447</v>
      </c>
      <c r="G12" s="60" t="s">
        <v>461</v>
      </c>
    </row>
    <row r="13" spans="2:9" ht="51" customHeight="1" x14ac:dyDescent="0.2">
      <c r="B13" s="114"/>
      <c r="C13" s="115"/>
      <c r="D13" s="115"/>
      <c r="E13" s="115"/>
      <c r="F13" s="115"/>
      <c r="G13" s="60" t="s">
        <v>462</v>
      </c>
    </row>
    <row r="14" spans="2:9" ht="33.75" customHeight="1" thickBot="1" x14ac:dyDescent="0.25">
      <c r="B14" s="111"/>
      <c r="C14" s="113"/>
      <c r="D14" s="113"/>
      <c r="E14" s="113"/>
      <c r="F14" s="113"/>
      <c r="G14" s="45" t="s">
        <v>463</v>
      </c>
    </row>
    <row r="15" spans="2:9" x14ac:dyDescent="0.2">
      <c r="B15" s="93">
        <v>332506</v>
      </c>
      <c r="C15" s="91" t="s">
        <v>464</v>
      </c>
      <c r="D15" s="91">
        <v>776996</v>
      </c>
      <c r="E15" s="91">
        <v>7109607</v>
      </c>
      <c r="F15" s="91" t="s">
        <v>447</v>
      </c>
      <c r="G15" s="52" t="s">
        <v>465</v>
      </c>
    </row>
    <row r="16" spans="2:9" ht="26.25" customHeight="1" thickBot="1" x14ac:dyDescent="0.25">
      <c r="B16" s="94"/>
      <c r="C16" s="92"/>
      <c r="D16" s="92"/>
      <c r="E16" s="92"/>
      <c r="F16" s="92"/>
      <c r="G16" s="47" t="s">
        <v>466</v>
      </c>
    </row>
    <row r="17" spans="2:7" ht="48" customHeight="1" x14ac:dyDescent="0.2">
      <c r="B17" s="110">
        <v>332502</v>
      </c>
      <c r="C17" s="112" t="s">
        <v>467</v>
      </c>
      <c r="D17" s="112">
        <v>780687</v>
      </c>
      <c r="E17" s="112">
        <v>7120829</v>
      </c>
      <c r="F17" s="112" t="s">
        <v>447</v>
      </c>
      <c r="G17" s="60" t="s">
        <v>468</v>
      </c>
    </row>
    <row r="18" spans="2:7" ht="75" customHeight="1" thickBot="1" x14ac:dyDescent="0.25">
      <c r="B18" s="111"/>
      <c r="C18" s="113"/>
      <c r="D18" s="113"/>
      <c r="E18" s="113"/>
      <c r="F18" s="113"/>
      <c r="G18" s="45" t="s">
        <v>469</v>
      </c>
    </row>
    <row r="19" spans="2:7" x14ac:dyDescent="0.2">
      <c r="B19" s="93">
        <v>332507</v>
      </c>
      <c r="C19" s="91" t="s">
        <v>470</v>
      </c>
      <c r="D19" s="91">
        <v>773794</v>
      </c>
      <c r="E19" s="91">
        <v>7111578</v>
      </c>
      <c r="F19" s="91" t="s">
        <v>447</v>
      </c>
      <c r="G19" s="52" t="s">
        <v>465</v>
      </c>
    </row>
    <row r="20" spans="2:7" ht="39" customHeight="1" thickBot="1" x14ac:dyDescent="0.25">
      <c r="B20" s="94"/>
      <c r="C20" s="92"/>
      <c r="D20" s="92"/>
      <c r="E20" s="92"/>
      <c r="F20" s="92"/>
      <c r="G20" s="47" t="s">
        <v>471</v>
      </c>
    </row>
    <row r="21" spans="2:7" x14ac:dyDescent="0.2">
      <c r="B21" s="110">
        <v>332508</v>
      </c>
      <c r="C21" s="112" t="s">
        <v>472</v>
      </c>
      <c r="D21" s="112">
        <v>772396</v>
      </c>
      <c r="E21" s="112">
        <v>7120207</v>
      </c>
      <c r="F21" s="112" t="s">
        <v>447</v>
      </c>
      <c r="G21" s="60" t="s">
        <v>473</v>
      </c>
    </row>
    <row r="22" spans="2:7" ht="60.75" customHeight="1" thickBot="1" x14ac:dyDescent="0.25">
      <c r="B22" s="111"/>
      <c r="C22" s="113"/>
      <c r="D22" s="113"/>
      <c r="E22" s="113"/>
      <c r="F22" s="113"/>
      <c r="G22" s="45" t="s">
        <v>474</v>
      </c>
    </row>
  </sheetData>
  <mergeCells count="40">
    <mergeCell ref="B19:B20"/>
    <mergeCell ref="C19:C20"/>
    <mergeCell ref="D19:D20"/>
    <mergeCell ref="E19:E20"/>
    <mergeCell ref="F19:F20"/>
    <mergeCell ref="B21:B22"/>
    <mergeCell ref="C21:C22"/>
    <mergeCell ref="D21:D22"/>
    <mergeCell ref="E21:E22"/>
    <mergeCell ref="F21:F22"/>
    <mergeCell ref="B15:B16"/>
    <mergeCell ref="C15:C16"/>
    <mergeCell ref="D15:D16"/>
    <mergeCell ref="E15:E16"/>
    <mergeCell ref="F15:F16"/>
    <mergeCell ref="B17:B18"/>
    <mergeCell ref="C17:C18"/>
    <mergeCell ref="D17:D18"/>
    <mergeCell ref="E17:E18"/>
    <mergeCell ref="F17:F18"/>
    <mergeCell ref="B10:B11"/>
    <mergeCell ref="C10:C11"/>
    <mergeCell ref="D10:D11"/>
    <mergeCell ref="E10:E11"/>
    <mergeCell ref="F10:F11"/>
    <mergeCell ref="B12:B14"/>
    <mergeCell ref="C12:C14"/>
    <mergeCell ref="D12:D14"/>
    <mergeCell ref="E12:E14"/>
    <mergeCell ref="F12:F14"/>
    <mergeCell ref="B6:B7"/>
    <mergeCell ref="C6:C7"/>
    <mergeCell ref="D6:D7"/>
    <mergeCell ref="E6:E7"/>
    <mergeCell ref="F6:F7"/>
    <mergeCell ref="B8:B9"/>
    <mergeCell ref="C8:C9"/>
    <mergeCell ref="D8:D9"/>
    <mergeCell ref="E8:E9"/>
    <mergeCell ref="F8:F9"/>
  </mergeCells>
  <pageMargins left="0.39370078740157483" right="0.39370078740157483" top="0.78740157480314965" bottom="0.78740157480314965" header="0.51181102362204722" footer="0.51181102362204722"/>
  <pageSetup paperSize="9" orientation="portrait" horizontalDpi="300" verticalDpi="4294967292"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E25D1-109D-4EDB-BF6D-D303E7F33C3A}">
  <sheetPr codeName="Sheet14"/>
  <dimension ref="B1:G15"/>
  <sheetViews>
    <sheetView zoomScale="75" workbookViewId="0">
      <selection activeCell="L5" sqref="L5"/>
    </sheetView>
  </sheetViews>
  <sheetFormatPr defaultRowHeight="14.25" x14ac:dyDescent="0.2"/>
  <cols>
    <col min="1" max="1" width="9.140625" style="49"/>
    <col min="2" max="2" width="19.5703125" style="49" customWidth="1"/>
    <col min="3" max="3" width="10.85546875" style="49" customWidth="1"/>
    <col min="4" max="4" width="19" style="49" customWidth="1"/>
    <col min="5" max="5" width="17.5703125" style="49" customWidth="1"/>
    <col min="6" max="6" width="18.85546875" style="49" customWidth="1"/>
    <col min="7" max="7" width="73.7109375" style="49" customWidth="1"/>
    <col min="8" max="16384" width="9.140625" style="49"/>
  </cols>
  <sheetData>
    <row r="1" spans="2:7" ht="62.25" customHeight="1" thickBot="1" x14ac:dyDescent="0.45">
      <c r="B1" s="58" t="s">
        <v>496</v>
      </c>
    </row>
    <row r="2" spans="2:7" ht="15" thickBot="1" x14ac:dyDescent="0.25">
      <c r="B2" s="43" t="s">
        <v>478</v>
      </c>
      <c r="C2" s="44" t="s">
        <v>416</v>
      </c>
      <c r="D2" s="44" t="s">
        <v>479</v>
      </c>
      <c r="E2" s="44" t="s">
        <v>480</v>
      </c>
      <c r="F2" s="44" t="s">
        <v>481</v>
      </c>
      <c r="G2" s="44" t="s">
        <v>419</v>
      </c>
    </row>
    <row r="3" spans="2:7" ht="15" thickBot="1" x14ac:dyDescent="0.25">
      <c r="B3" s="50" t="s">
        <v>424</v>
      </c>
      <c r="C3" s="47" t="s">
        <v>425</v>
      </c>
      <c r="D3" s="56">
        <v>45541</v>
      </c>
      <c r="E3" s="47" t="s">
        <v>482</v>
      </c>
      <c r="F3" s="47" t="s">
        <v>483</v>
      </c>
      <c r="G3" s="47" t="s">
        <v>426</v>
      </c>
    </row>
    <row r="4" spans="2:7" ht="15" thickBot="1" x14ac:dyDescent="0.25">
      <c r="B4" s="51" t="s">
        <v>427</v>
      </c>
      <c r="C4" s="45" t="s">
        <v>428</v>
      </c>
      <c r="D4" s="45">
        <v>750</v>
      </c>
      <c r="E4" s="45">
        <v>1000</v>
      </c>
      <c r="F4" s="45">
        <v>370</v>
      </c>
      <c r="G4" s="45" t="s">
        <v>426</v>
      </c>
    </row>
    <row r="5" spans="2:7" ht="15" thickBot="1" x14ac:dyDescent="0.25">
      <c r="B5" s="50" t="s">
        <v>429</v>
      </c>
      <c r="C5" s="47" t="s">
        <v>430</v>
      </c>
      <c r="D5" s="47">
        <v>10</v>
      </c>
      <c r="E5" s="47">
        <v>1000</v>
      </c>
      <c r="F5" s="47">
        <v>5</v>
      </c>
      <c r="G5" s="47" t="s">
        <v>426</v>
      </c>
    </row>
    <row r="6" spans="2:7" ht="15" thickBot="1" x14ac:dyDescent="0.25">
      <c r="B6" s="51" t="s">
        <v>484</v>
      </c>
      <c r="C6" s="45" t="s">
        <v>485</v>
      </c>
      <c r="D6" s="45">
        <v>1750</v>
      </c>
      <c r="E6" s="45">
        <v>1000</v>
      </c>
      <c r="F6" s="45">
        <v>50</v>
      </c>
      <c r="G6" s="45" t="s">
        <v>426</v>
      </c>
    </row>
    <row r="7" spans="2:7" ht="15" thickBot="1" x14ac:dyDescent="0.25">
      <c r="B7" s="50" t="s">
        <v>486</v>
      </c>
      <c r="C7" s="47" t="s">
        <v>433</v>
      </c>
      <c r="D7" s="47">
        <v>13</v>
      </c>
      <c r="E7" s="47">
        <v>13</v>
      </c>
      <c r="F7" s="47">
        <v>13</v>
      </c>
      <c r="G7" s="47" t="s">
        <v>434</v>
      </c>
    </row>
    <row r="8" spans="2:7" ht="15" thickBot="1" x14ac:dyDescent="0.25">
      <c r="B8" s="51" t="s">
        <v>487</v>
      </c>
      <c r="C8" s="45" t="s">
        <v>433</v>
      </c>
      <c r="D8" s="45">
        <v>370</v>
      </c>
      <c r="E8" s="45">
        <v>370</v>
      </c>
      <c r="F8" s="45">
        <v>370</v>
      </c>
      <c r="G8" s="45" t="s">
        <v>434</v>
      </c>
    </row>
    <row r="9" spans="2:7" ht="15" thickBot="1" x14ac:dyDescent="0.25">
      <c r="B9" s="50" t="s">
        <v>488</v>
      </c>
      <c r="C9" s="47" t="s">
        <v>433</v>
      </c>
      <c r="D9" s="47">
        <v>4</v>
      </c>
      <c r="E9" s="47">
        <v>2</v>
      </c>
      <c r="F9" s="47">
        <v>1.4</v>
      </c>
      <c r="G9" s="47" t="s">
        <v>426</v>
      </c>
    </row>
    <row r="10" spans="2:7" ht="29.25" thickBot="1" x14ac:dyDescent="0.25">
      <c r="B10" s="51" t="s">
        <v>489</v>
      </c>
      <c r="C10" s="45" t="s">
        <v>433</v>
      </c>
      <c r="D10" s="45">
        <v>34</v>
      </c>
      <c r="E10" s="45">
        <v>34</v>
      </c>
      <c r="F10" s="45">
        <v>34</v>
      </c>
      <c r="G10" s="45" t="s">
        <v>434</v>
      </c>
    </row>
    <row r="11" spans="2:7" ht="15" thickBot="1" x14ac:dyDescent="0.25">
      <c r="B11" s="50" t="s">
        <v>490</v>
      </c>
      <c r="C11" s="47" t="s">
        <v>433</v>
      </c>
      <c r="D11" s="47">
        <v>11</v>
      </c>
      <c r="E11" s="47">
        <v>11</v>
      </c>
      <c r="F11" s="47">
        <v>11</v>
      </c>
      <c r="G11" s="47" t="s">
        <v>434</v>
      </c>
    </row>
    <row r="12" spans="2:7" ht="15" thickBot="1" x14ac:dyDescent="0.25">
      <c r="B12" s="51" t="s">
        <v>491</v>
      </c>
      <c r="C12" s="45" t="s">
        <v>433</v>
      </c>
      <c r="D12" s="45">
        <v>5</v>
      </c>
      <c r="E12" s="45">
        <v>10</v>
      </c>
      <c r="F12" s="45">
        <v>5</v>
      </c>
      <c r="G12" s="45" t="s">
        <v>434</v>
      </c>
    </row>
    <row r="13" spans="2:7" ht="15" thickBot="1" x14ac:dyDescent="0.25">
      <c r="B13" s="50" t="s">
        <v>492</v>
      </c>
      <c r="C13" s="47" t="s">
        <v>433</v>
      </c>
      <c r="D13" s="47">
        <v>0.5</v>
      </c>
      <c r="E13" s="47">
        <v>1</v>
      </c>
      <c r="F13" s="47">
        <v>0.5</v>
      </c>
      <c r="G13" s="47" t="s">
        <v>434</v>
      </c>
    </row>
    <row r="14" spans="2:7" ht="15" thickBot="1" x14ac:dyDescent="0.25">
      <c r="B14" s="51" t="s">
        <v>493</v>
      </c>
      <c r="C14" s="45" t="s">
        <v>433</v>
      </c>
      <c r="D14" s="45">
        <v>8</v>
      </c>
      <c r="E14" s="45">
        <v>8</v>
      </c>
      <c r="F14" s="45">
        <v>8</v>
      </c>
      <c r="G14" s="45" t="s">
        <v>434</v>
      </c>
    </row>
    <row r="15" spans="2:7" ht="72" thickBot="1" x14ac:dyDescent="0.25">
      <c r="B15" s="50" t="s">
        <v>494</v>
      </c>
      <c r="C15" s="47" t="s">
        <v>433</v>
      </c>
      <c r="D15" s="116" t="s">
        <v>495</v>
      </c>
      <c r="E15" s="117"/>
      <c r="F15" s="118"/>
      <c r="G15" s="47"/>
    </row>
  </sheetData>
  <mergeCells count="1">
    <mergeCell ref="D15:F15"/>
  </mergeCells>
  <pageMargins left="0.39370078740157483" right="0.39370078740157483" top="0.78740157480314965" bottom="0.78740157480314965" header="0.51181102362204722" footer="0.51181102362204722"/>
  <pageSetup paperSize="9" orientation="portrait" horizontalDpi="300" vertic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B15A7-2929-469A-85EE-3D0C5C246477}">
  <sheetPr codeName="Sheet15"/>
  <dimension ref="B1:C21"/>
  <sheetViews>
    <sheetView zoomScale="75" workbookViewId="0">
      <selection activeCell="H7" sqref="H7"/>
    </sheetView>
  </sheetViews>
  <sheetFormatPr defaultRowHeight="14.25" x14ac:dyDescent="0.2"/>
  <cols>
    <col min="1" max="1" width="9.140625" style="49"/>
    <col min="2" max="2" width="34.140625" style="49" customWidth="1"/>
    <col min="3" max="3" width="83.7109375" style="49" customWidth="1"/>
    <col min="4" max="16384" width="9.140625" style="49"/>
  </cols>
  <sheetData>
    <row r="1" spans="2:3" ht="75.75" customHeight="1" thickBot="1" x14ac:dyDescent="0.45">
      <c r="B1" s="58" t="s">
        <v>526</v>
      </c>
    </row>
    <row r="2" spans="2:3" ht="15" thickBot="1" x14ac:dyDescent="0.25">
      <c r="B2" s="43" t="s">
        <v>478</v>
      </c>
      <c r="C2" s="44" t="s">
        <v>497</v>
      </c>
    </row>
    <row r="3" spans="2:3" ht="38.25" customHeight="1" thickBot="1" x14ac:dyDescent="0.25">
      <c r="B3" s="50" t="s">
        <v>498</v>
      </c>
      <c r="C3" s="47" t="s">
        <v>499</v>
      </c>
    </row>
    <row r="4" spans="2:3" ht="36" customHeight="1" x14ac:dyDescent="0.2">
      <c r="B4" s="110" t="s">
        <v>500</v>
      </c>
      <c r="C4" s="60" t="s">
        <v>501</v>
      </c>
    </row>
    <row r="5" spans="2:3" ht="33" customHeight="1" thickBot="1" x14ac:dyDescent="0.25">
      <c r="B5" s="111"/>
      <c r="C5" s="45" t="s">
        <v>502</v>
      </c>
    </row>
    <row r="6" spans="2:3" ht="27.75" customHeight="1" x14ac:dyDescent="0.2">
      <c r="B6" s="93" t="s">
        <v>503</v>
      </c>
      <c r="C6" s="52" t="s">
        <v>501</v>
      </c>
    </row>
    <row r="7" spans="2:3" ht="42.75" customHeight="1" thickBot="1" x14ac:dyDescent="0.25">
      <c r="B7" s="94"/>
      <c r="C7" s="47" t="s">
        <v>502</v>
      </c>
    </row>
    <row r="8" spans="2:3" ht="42.75" customHeight="1" thickBot="1" x14ac:dyDescent="0.25">
      <c r="B8" s="51" t="s">
        <v>504</v>
      </c>
      <c r="C8" s="45" t="s">
        <v>505</v>
      </c>
    </row>
    <row r="9" spans="2:3" ht="30" customHeight="1" thickBot="1" x14ac:dyDescent="0.25">
      <c r="B9" s="50" t="s">
        <v>506</v>
      </c>
      <c r="C9" s="47" t="s">
        <v>505</v>
      </c>
    </row>
    <row r="10" spans="2:3" ht="25.5" customHeight="1" thickBot="1" x14ac:dyDescent="0.25">
      <c r="B10" s="51" t="s">
        <v>507</v>
      </c>
      <c r="C10" s="45" t="s">
        <v>501</v>
      </c>
    </row>
    <row r="11" spans="2:3" ht="42.75" customHeight="1" thickBot="1" x14ac:dyDescent="0.25">
      <c r="B11" s="50" t="s">
        <v>508</v>
      </c>
      <c r="C11" s="47" t="s">
        <v>501</v>
      </c>
    </row>
    <row r="12" spans="2:3" ht="40.5" customHeight="1" thickBot="1" x14ac:dyDescent="0.25">
      <c r="B12" s="51" t="s">
        <v>509</v>
      </c>
      <c r="C12" s="45" t="s">
        <v>510</v>
      </c>
    </row>
    <row r="13" spans="2:3" ht="49.5" customHeight="1" thickBot="1" x14ac:dyDescent="0.25">
      <c r="B13" s="50" t="s">
        <v>511</v>
      </c>
      <c r="C13" s="47" t="s">
        <v>512</v>
      </c>
    </row>
    <row r="14" spans="2:3" ht="44.25" customHeight="1" thickBot="1" x14ac:dyDescent="0.25">
      <c r="B14" s="51" t="s">
        <v>513</v>
      </c>
      <c r="C14" s="45" t="s">
        <v>514</v>
      </c>
    </row>
    <row r="15" spans="2:3" ht="15" thickBot="1" x14ac:dyDescent="0.25">
      <c r="B15" s="50" t="s">
        <v>515</v>
      </c>
      <c r="C15" s="47" t="s">
        <v>516</v>
      </c>
    </row>
    <row r="16" spans="2:3" ht="42.75" customHeight="1" thickBot="1" x14ac:dyDescent="0.25">
      <c r="B16" s="51" t="s">
        <v>517</v>
      </c>
      <c r="C16" s="45" t="s">
        <v>518</v>
      </c>
    </row>
    <row r="17" spans="2:3" ht="40.5" customHeight="1" thickBot="1" x14ac:dyDescent="0.25">
      <c r="B17" s="50" t="s">
        <v>519</v>
      </c>
      <c r="C17" s="47" t="s">
        <v>520</v>
      </c>
    </row>
    <row r="18" spans="2:3" ht="33" customHeight="1" thickBot="1" x14ac:dyDescent="0.25">
      <c r="B18" s="51" t="s">
        <v>521</v>
      </c>
      <c r="C18" s="45" t="s">
        <v>501</v>
      </c>
    </row>
    <row r="19" spans="2:3" ht="36.75" customHeight="1" thickBot="1" x14ac:dyDescent="0.25">
      <c r="B19" s="50" t="s">
        <v>522</v>
      </c>
      <c r="C19" s="47" t="s">
        <v>514</v>
      </c>
    </row>
    <row r="20" spans="2:3" ht="45.75" customHeight="1" thickBot="1" x14ac:dyDescent="0.25">
      <c r="B20" s="51" t="s">
        <v>523</v>
      </c>
      <c r="C20" s="45" t="s">
        <v>524</v>
      </c>
    </row>
    <row r="21" spans="2:3" ht="36.75" customHeight="1" thickBot="1" x14ac:dyDescent="0.25">
      <c r="B21" s="50" t="s">
        <v>525</v>
      </c>
      <c r="C21" s="47" t="s">
        <v>524</v>
      </c>
    </row>
  </sheetData>
  <mergeCells count="2">
    <mergeCell ref="B4:B5"/>
    <mergeCell ref="B6:B7"/>
  </mergeCells>
  <pageMargins left="0.39370078740157483" right="0.39370078740157483" top="0.78740157480314965" bottom="0.78740157480314965" header="0.51181102362204722" footer="0.51181102362204722"/>
  <pageSetup paperSize="9" orientation="portrait" horizontalDpi="300"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368CC-0313-47B1-BE8A-2E266389AC10}">
  <sheetPr codeName="Sheet10"/>
  <dimension ref="A1:CS21"/>
  <sheetViews>
    <sheetView workbookViewId="0">
      <selection activeCell="CX18" sqref="CX18"/>
    </sheetView>
  </sheetViews>
  <sheetFormatPr defaultColWidth="12.140625" defaultRowHeight="15" x14ac:dyDescent="0.25"/>
  <cols>
    <col min="1" max="1" width="15.7109375" style="2" customWidth="1"/>
    <col min="2" max="103" width="13.85546875" customWidth="1"/>
  </cols>
  <sheetData>
    <row r="1" spans="1:97" ht="23.25" customHeight="1" thickBot="1" x14ac:dyDescent="0.35">
      <c r="A1" s="71" t="s">
        <v>25</v>
      </c>
      <c r="B1" s="72"/>
      <c r="C1" s="72"/>
      <c r="D1" s="72"/>
      <c r="E1" s="72"/>
      <c r="F1" s="72"/>
      <c r="G1" s="72"/>
      <c r="H1" s="72"/>
      <c r="I1" s="72"/>
      <c r="J1" s="72"/>
      <c r="K1" s="73"/>
    </row>
    <row r="2" spans="1:97" ht="15.95" customHeight="1" thickBot="1" x14ac:dyDescent="0.3">
      <c r="A2" s="69" t="s">
        <v>0</v>
      </c>
      <c r="B2" s="69"/>
      <c r="C2" s="69"/>
      <c r="D2" s="69"/>
      <c r="E2" s="70" t="s">
        <v>14</v>
      </c>
      <c r="F2" s="70"/>
      <c r="G2" s="70"/>
      <c r="H2" s="70"/>
      <c r="I2" s="70"/>
      <c r="J2" s="70"/>
      <c r="K2" s="70"/>
    </row>
    <row r="3" spans="1:97" ht="15.95" customHeight="1" thickBot="1" x14ac:dyDescent="0.3">
      <c r="A3" s="69" t="s">
        <v>1</v>
      </c>
      <c r="B3" s="69"/>
      <c r="C3" s="69"/>
      <c r="D3" s="69"/>
      <c r="E3" s="70" t="s">
        <v>144</v>
      </c>
      <c r="F3" s="70"/>
      <c r="G3" s="70"/>
      <c r="H3" s="70"/>
      <c r="I3" s="70"/>
      <c r="J3" s="70"/>
      <c r="K3" s="70"/>
    </row>
    <row r="4" spans="1:97" ht="15.95" customHeight="1" thickBot="1" x14ac:dyDescent="0.3">
      <c r="A4" s="69" t="s">
        <v>24</v>
      </c>
      <c r="B4" s="69"/>
      <c r="C4" s="69"/>
      <c r="D4" s="69"/>
      <c r="E4" s="70">
        <v>8383</v>
      </c>
      <c r="F4" s="70"/>
      <c r="G4" s="70"/>
      <c r="H4" s="70"/>
      <c r="I4" s="70"/>
      <c r="J4" s="70"/>
      <c r="K4" s="70"/>
    </row>
    <row r="5" spans="1:97" ht="32.1" customHeight="1" thickBot="1" x14ac:dyDescent="0.3">
      <c r="A5" s="80" t="s">
        <v>41</v>
      </c>
      <c r="B5" s="80"/>
      <c r="C5" s="80"/>
      <c r="D5" s="80"/>
      <c r="E5" s="81" t="s">
        <v>156</v>
      </c>
      <c r="F5" s="81"/>
      <c r="G5" s="81"/>
      <c r="H5" s="81"/>
      <c r="I5" s="81"/>
      <c r="J5" s="81"/>
      <c r="K5" s="81"/>
    </row>
    <row r="6" spans="1:97" ht="15.95" customHeight="1" thickBot="1" x14ac:dyDescent="0.3">
      <c r="A6" s="69" t="s">
        <v>26</v>
      </c>
      <c r="B6" s="69"/>
      <c r="C6" s="69"/>
      <c r="D6" s="69"/>
      <c r="E6" s="70" t="s">
        <v>31</v>
      </c>
      <c r="F6" s="70"/>
      <c r="G6" s="70"/>
      <c r="H6" s="70"/>
      <c r="I6" s="70"/>
      <c r="J6" s="70"/>
      <c r="K6" s="70"/>
    </row>
    <row r="7" spans="1:97" ht="30.95" customHeight="1" thickBot="1" x14ac:dyDescent="0.3">
      <c r="A7" s="3" t="s">
        <v>2</v>
      </c>
      <c r="B7" s="26" t="s">
        <v>139</v>
      </c>
      <c r="C7" s="26" t="s">
        <v>140</v>
      </c>
      <c r="D7" s="26" t="s">
        <v>117</v>
      </c>
      <c r="E7" s="26" t="s">
        <v>118</v>
      </c>
      <c r="F7" s="26" t="s">
        <v>119</v>
      </c>
      <c r="G7" s="26" t="s">
        <v>120</v>
      </c>
      <c r="H7" s="26" t="s">
        <v>121</v>
      </c>
      <c r="I7" s="26" t="s">
        <v>122</v>
      </c>
      <c r="J7" s="26" t="s">
        <v>123</v>
      </c>
      <c r="K7" s="26" t="s">
        <v>124</v>
      </c>
      <c r="L7" s="26" t="s">
        <v>125</v>
      </c>
      <c r="M7" s="26" t="s">
        <v>126</v>
      </c>
      <c r="N7" s="26" t="s">
        <v>127</v>
      </c>
      <c r="O7" s="26" t="s">
        <v>128</v>
      </c>
      <c r="P7" s="26" t="s">
        <v>129</v>
      </c>
      <c r="Q7" s="26" t="s">
        <v>130</v>
      </c>
      <c r="R7" s="26" t="s">
        <v>131</v>
      </c>
      <c r="S7" s="26" t="s">
        <v>132</v>
      </c>
      <c r="T7" s="26" t="s">
        <v>133</v>
      </c>
      <c r="U7" s="26" t="s">
        <v>134</v>
      </c>
      <c r="V7" s="26" t="s">
        <v>135</v>
      </c>
      <c r="W7" s="26" t="s">
        <v>136</v>
      </c>
      <c r="X7" s="26" t="s">
        <v>137</v>
      </c>
      <c r="Y7" s="26" t="s">
        <v>138</v>
      </c>
      <c r="Z7" s="26" t="s">
        <v>52</v>
      </c>
      <c r="AA7" s="26" t="s">
        <v>53</v>
      </c>
      <c r="AB7" s="26" t="s">
        <v>54</v>
      </c>
      <c r="AC7" s="26" t="s">
        <v>55</v>
      </c>
      <c r="AD7" s="26" t="s">
        <v>56</v>
      </c>
      <c r="AE7" s="26" t="s">
        <v>57</v>
      </c>
      <c r="AF7" s="26" t="s">
        <v>58</v>
      </c>
      <c r="AG7" s="26" t="s">
        <v>59</v>
      </c>
      <c r="AH7" s="26" t="s">
        <v>60</v>
      </c>
      <c r="AI7" s="26" t="s">
        <v>61</v>
      </c>
      <c r="AJ7" s="26" t="s">
        <v>62</v>
      </c>
      <c r="AK7" s="26" t="s">
        <v>63</v>
      </c>
      <c r="AL7" s="26" t="s">
        <v>64</v>
      </c>
      <c r="AM7" s="26" t="s">
        <v>65</v>
      </c>
      <c r="AN7" s="26" t="s">
        <v>66</v>
      </c>
      <c r="AO7" s="26" t="s">
        <v>67</v>
      </c>
      <c r="AP7" s="26" t="s">
        <v>68</v>
      </c>
      <c r="AQ7" s="26" t="s">
        <v>69</v>
      </c>
      <c r="AR7" s="26" t="s">
        <v>70</v>
      </c>
      <c r="AS7" s="26" t="s">
        <v>71</v>
      </c>
      <c r="AT7" s="26" t="s">
        <v>72</v>
      </c>
      <c r="AU7" s="26" t="s">
        <v>73</v>
      </c>
      <c r="AV7" s="26" t="s">
        <v>74</v>
      </c>
      <c r="AW7" s="26" t="s">
        <v>75</v>
      </c>
      <c r="AX7" s="26" t="s">
        <v>76</v>
      </c>
      <c r="AY7" s="26" t="s">
        <v>77</v>
      </c>
      <c r="AZ7" s="26" t="s">
        <v>78</v>
      </c>
      <c r="BA7" s="26" t="s">
        <v>79</v>
      </c>
      <c r="BB7" s="26" t="s">
        <v>80</v>
      </c>
      <c r="BC7" s="26" t="s">
        <v>81</v>
      </c>
      <c r="BD7" s="26" t="s">
        <v>82</v>
      </c>
      <c r="BE7" s="26" t="s">
        <v>83</v>
      </c>
      <c r="BF7" s="26" t="s">
        <v>84</v>
      </c>
      <c r="BG7" s="26" t="s">
        <v>85</v>
      </c>
      <c r="BH7" s="26" t="s">
        <v>86</v>
      </c>
      <c r="BI7" s="26" t="s">
        <v>87</v>
      </c>
      <c r="BJ7" s="26" t="s">
        <v>88</v>
      </c>
      <c r="BK7" s="26" t="s">
        <v>89</v>
      </c>
      <c r="BL7" s="26" t="s">
        <v>90</v>
      </c>
      <c r="BM7" s="26" t="s">
        <v>91</v>
      </c>
      <c r="BN7" s="26" t="s">
        <v>92</v>
      </c>
      <c r="BO7" s="26" t="s">
        <v>93</v>
      </c>
      <c r="BP7" s="26" t="s">
        <v>94</v>
      </c>
      <c r="BQ7" s="26" t="s">
        <v>95</v>
      </c>
      <c r="BR7" s="26" t="s">
        <v>48</v>
      </c>
      <c r="BS7" s="26" t="s">
        <v>96</v>
      </c>
      <c r="BT7" s="26" t="s">
        <v>47</v>
      </c>
      <c r="BU7" s="26" t="s">
        <v>97</v>
      </c>
      <c r="BV7" s="26" t="s">
        <v>98</v>
      </c>
      <c r="BW7" s="26" t="s">
        <v>49</v>
      </c>
      <c r="BX7" s="26" t="s">
        <v>44</v>
      </c>
      <c r="BY7" s="26"/>
      <c r="BZ7" s="26"/>
      <c r="CA7" s="26"/>
      <c r="CB7" s="26"/>
      <c r="CC7" s="26"/>
      <c r="CD7" s="26"/>
      <c r="CE7" s="26"/>
      <c r="CF7" s="26"/>
      <c r="CG7" s="26"/>
      <c r="CH7" s="26"/>
      <c r="CI7" s="26"/>
      <c r="CJ7" s="21"/>
      <c r="CK7" s="20"/>
      <c r="CL7" s="20"/>
      <c r="CM7" s="20"/>
      <c r="CN7" s="20"/>
      <c r="CO7" s="20"/>
      <c r="CP7" s="20"/>
      <c r="CQ7" s="20"/>
      <c r="CR7" s="20"/>
      <c r="CS7" s="20"/>
    </row>
    <row r="8" spans="1:97" ht="30.95" customHeight="1" thickBot="1" x14ac:dyDescent="0.3">
      <c r="A8" s="3" t="s">
        <v>15</v>
      </c>
      <c r="B8" s="12">
        <v>16</v>
      </c>
      <c r="C8" s="12">
        <f>Table217[[#This Row],[Column5]]+69</f>
        <v>85</v>
      </c>
      <c r="D8" s="12">
        <f>Table217[[#This Row],[Column6]]+85</f>
        <v>170</v>
      </c>
      <c r="E8" s="12">
        <f>Table217[[#This Row],[Column7]]+6</f>
        <v>176</v>
      </c>
      <c r="F8" s="12">
        <f>Table217[[#This Row],[Column7]]+6</f>
        <v>176</v>
      </c>
      <c r="G8" s="12">
        <f>Table217[[#This Row],[Column9]]+8</f>
        <v>184</v>
      </c>
      <c r="H8" s="12">
        <f>Table217[[#This Row],[Column9]]+8</f>
        <v>184</v>
      </c>
      <c r="I8" s="21">
        <f>Table217[[#This Row],[Column11]]+36</f>
        <v>220</v>
      </c>
      <c r="J8" s="20">
        <f>Table217[[#This Row],[Column12]]+71</f>
        <v>291</v>
      </c>
      <c r="K8" s="20">
        <f>Table217[[#This Row],[Column12]]+71</f>
        <v>291</v>
      </c>
      <c r="L8" s="20">
        <f>Table217[[#This Row],[Column14]]</f>
        <v>291</v>
      </c>
      <c r="M8" s="20">
        <f>Table217[[#This Row],[Column15]]+70</f>
        <v>361</v>
      </c>
      <c r="N8" s="20">
        <f>Table217[[#This Row],[Column16]]</f>
        <v>361</v>
      </c>
      <c r="O8" s="20">
        <f>Table217[[#This Row],[Column16]]</f>
        <v>361</v>
      </c>
      <c r="P8" s="20">
        <f>Table217[[#This Row],[Column16]]</f>
        <v>361</v>
      </c>
      <c r="Q8" s="20">
        <f>Table217[[#This Row],[Column16]]</f>
        <v>361</v>
      </c>
      <c r="R8" s="20">
        <f>Table217[[#This Row],[Column16]]</f>
        <v>361</v>
      </c>
      <c r="S8" s="20">
        <f>Table217[[#This Row],[Column21]]+128</f>
        <v>489</v>
      </c>
      <c r="T8" s="20">
        <f>Table217[[#This Row],[Column22]]+38</f>
        <v>527</v>
      </c>
      <c r="U8" s="20">
        <f>Table217[[#This Row],[Column23]]+39</f>
        <v>566</v>
      </c>
      <c r="V8" s="20">
        <f>Table217[[#This Row],[Column24]]+23</f>
        <v>589</v>
      </c>
      <c r="W8" s="20">
        <f>Table217[[#This Row],[Column25]]+60</f>
        <v>649</v>
      </c>
      <c r="X8" s="20">
        <f>Table217[[#This Row],[Column26]]+44</f>
        <v>693</v>
      </c>
      <c r="Y8" s="20">
        <f>Table217[[#This Row],[Column27]]+17</f>
        <v>710</v>
      </c>
      <c r="Z8" s="20">
        <f>Table217[[#This Row],[Column28]]+60</f>
        <v>770</v>
      </c>
      <c r="AA8" s="20">
        <f>Table217[[#This Row],[Column29]]+5</f>
        <v>775</v>
      </c>
      <c r="AB8" s="20">
        <f>Table217[[#This Row],[Column30]]+27</f>
        <v>802</v>
      </c>
      <c r="AC8" s="20">
        <f>Table217[[#This Row],[Column31]]+70</f>
        <v>872</v>
      </c>
      <c r="AD8" s="20">
        <f>Table217[[#This Row],[Column32]]+58</f>
        <v>930</v>
      </c>
      <c r="AE8" s="20">
        <f>Table217[[#This Row],[Column33]]</f>
        <v>930</v>
      </c>
      <c r="AF8" s="20">
        <f>Table217[[#This Row],[Column34]]+85</f>
        <v>1015</v>
      </c>
      <c r="AG8" s="20">
        <f>Table217[[#This Row],[Column35]]</f>
        <v>1015</v>
      </c>
      <c r="AH8" s="20">
        <f>Table217[[#This Row],[Column35]]</f>
        <v>1015</v>
      </c>
      <c r="AI8" s="20">
        <f>Table217[[#This Row],[Column37]]+20</f>
        <v>1035</v>
      </c>
      <c r="AJ8" s="20">
        <f>Table217[[#This Row],[Column38]]+122</f>
        <v>1157</v>
      </c>
      <c r="AK8" s="20">
        <f>Table217[[#This Row],[Column39]]</f>
        <v>1157</v>
      </c>
      <c r="AL8" s="20">
        <f>Table217[[#This Row],[Column40]]+94</f>
        <v>1251</v>
      </c>
      <c r="AM8" s="20">
        <f>Table217[[#This Row],[Column41]]+145</f>
        <v>1396</v>
      </c>
      <c r="AN8" s="20">
        <f>Table217[[#This Row],[Column42]]+376</f>
        <v>1772</v>
      </c>
      <c r="AO8" s="20">
        <f>Table217[[#This Row],[Column43]]+175</f>
        <v>1947</v>
      </c>
      <c r="AP8" s="20">
        <f>Table217[[#This Row],[Column44]]+353</f>
        <v>2300</v>
      </c>
      <c r="AQ8" s="20">
        <f>Table217[[#This Row],[Column45]]</f>
        <v>2300</v>
      </c>
      <c r="AR8" s="20">
        <f>Table217[[#This Row],[Column46]]+87</f>
        <v>2387</v>
      </c>
      <c r="AS8" s="20">
        <f>Table217[[#This Row],[Column47]]</f>
        <v>2387</v>
      </c>
      <c r="AT8" s="20">
        <f>Table217[[#This Row],[Column48]]+408</f>
        <v>2795</v>
      </c>
      <c r="AU8" s="20">
        <f>Table217[[#This Row],[Column49]]+265</f>
        <v>3060</v>
      </c>
      <c r="AV8" s="20">
        <f>Table217[[#This Row],[Column50]]+259</f>
        <v>3319</v>
      </c>
      <c r="AW8" s="20">
        <f>Table217[[#This Row],[Column51]]+222</f>
        <v>3541</v>
      </c>
      <c r="AX8" s="20">
        <f>Table217[[#This Row],[Column52]]+170</f>
        <v>3711</v>
      </c>
      <c r="AY8" s="20">
        <f>Table217[[#This Row],[Column53]]</f>
        <v>3711</v>
      </c>
      <c r="AZ8" s="20">
        <f>Table217[[#This Row],[Column54]]+450</f>
        <v>4161</v>
      </c>
      <c r="BA8" s="20">
        <f>Table217[[#This Row],[Column55]]+24</f>
        <v>4185</v>
      </c>
      <c r="BB8" s="20">
        <f>Table217[[#This Row],[Column56]]+185</f>
        <v>4370</v>
      </c>
      <c r="BC8" s="20">
        <f>Table217[[#This Row],[Column57]]</f>
        <v>4370</v>
      </c>
      <c r="BD8" s="20">
        <f>Table217[[#This Row],[Column58]]+79</f>
        <v>4449</v>
      </c>
      <c r="BE8" s="20">
        <f>Table217[[#This Row],[Column59]]+192</f>
        <v>4641</v>
      </c>
      <c r="BF8" s="20">
        <f>Table217[[#This Row],[Column60]]+145</f>
        <v>4786</v>
      </c>
      <c r="BG8" s="20">
        <f>Table217[[#This Row],[Column61]]+198</f>
        <v>4984</v>
      </c>
      <c r="BH8" s="20">
        <f>Table217[[#This Row],[Column62]]+358</f>
        <v>5342</v>
      </c>
      <c r="BI8" s="20">
        <f>Table217[[#This Row],[Column63]]</f>
        <v>5342</v>
      </c>
      <c r="BJ8" s="20">
        <f>Table217[[#This Row],[Column63]]</f>
        <v>5342</v>
      </c>
      <c r="BK8" s="20">
        <f>Table217[[#This Row],[Column65]]+183</f>
        <v>5525</v>
      </c>
      <c r="BL8" s="20">
        <f>Table217[[#This Row],[Column66]]+158</f>
        <v>5683</v>
      </c>
      <c r="BM8" s="20">
        <f>Table217[[#This Row],[Column67]]+256</f>
        <v>5939</v>
      </c>
      <c r="BN8" s="20">
        <f>Table217[[#This Row],[Column68]]</f>
        <v>5939</v>
      </c>
      <c r="BO8" s="20">
        <f>Table217[[#This Row],[Column69]]+265</f>
        <v>6204</v>
      </c>
      <c r="BP8" s="20">
        <f>Table217[[#This Row],[Column70]]</f>
        <v>6204</v>
      </c>
      <c r="BQ8" s="20">
        <f>Table217[[#This Row],[Column71]]+332</f>
        <v>6536</v>
      </c>
      <c r="BR8" s="20">
        <f>Table217[[#This Row],[Column72]]+263</f>
        <v>6799</v>
      </c>
      <c r="BS8" s="20">
        <f>Table217[[#This Row],[Column73]]+108</f>
        <v>6907</v>
      </c>
      <c r="BT8" s="20">
        <f>Table217[[#This Row],[Column74]]+41</f>
        <v>6948</v>
      </c>
      <c r="BU8" s="20">
        <f>Table217[[#This Row],[Column75]]</f>
        <v>6948</v>
      </c>
      <c r="BV8" s="20">
        <f>Table217[[#This Row],[Column76]]+549</f>
        <v>7497</v>
      </c>
      <c r="BW8" s="20">
        <f>Table217[[#This Row],[Column77]]+534</f>
        <v>8031</v>
      </c>
      <c r="BX8" s="20">
        <f>Table217[[#This Row],[Column78]]+352</f>
        <v>8383</v>
      </c>
      <c r="BY8" s="20"/>
      <c r="BZ8" s="20"/>
      <c r="CA8" s="20"/>
      <c r="CB8" s="20"/>
      <c r="CC8" s="20"/>
      <c r="CD8" s="20"/>
      <c r="CE8" s="20"/>
      <c r="CF8" s="20"/>
      <c r="CG8" s="20"/>
      <c r="CH8" s="20"/>
      <c r="CI8" s="20"/>
      <c r="CJ8" s="21"/>
      <c r="CK8" s="20"/>
      <c r="CL8" s="20"/>
      <c r="CM8" s="20"/>
      <c r="CN8" s="20"/>
      <c r="CO8" s="20"/>
      <c r="CP8" s="20"/>
      <c r="CQ8" s="20"/>
      <c r="CR8" s="20"/>
      <c r="CS8" s="20"/>
    </row>
    <row r="9" spans="1:97" ht="30.95" customHeight="1" thickBot="1" x14ac:dyDescent="0.3">
      <c r="A9" s="4" t="s">
        <v>3</v>
      </c>
      <c r="B9" s="26" t="s">
        <v>140</v>
      </c>
      <c r="C9" s="26" t="s">
        <v>117</v>
      </c>
      <c r="D9" s="26" t="s">
        <v>118</v>
      </c>
      <c r="E9" s="26" t="s">
        <v>119</v>
      </c>
      <c r="F9" s="26" t="s">
        <v>120</v>
      </c>
      <c r="G9" s="26" t="s">
        <v>121</v>
      </c>
      <c r="H9" s="26" t="s">
        <v>122</v>
      </c>
      <c r="I9" s="26" t="s">
        <v>123</v>
      </c>
      <c r="J9" s="26" t="s">
        <v>124</v>
      </c>
      <c r="K9" s="26" t="s">
        <v>125</v>
      </c>
      <c r="L9" s="26" t="s">
        <v>126</v>
      </c>
      <c r="M9" s="26" t="s">
        <v>127</v>
      </c>
      <c r="N9" s="26" t="s">
        <v>128</v>
      </c>
      <c r="O9" s="26" t="s">
        <v>129</v>
      </c>
      <c r="P9" s="26" t="s">
        <v>130</v>
      </c>
      <c r="Q9" s="26" t="s">
        <v>131</v>
      </c>
      <c r="R9" s="26" t="s">
        <v>132</v>
      </c>
      <c r="S9" s="26" t="s">
        <v>133</v>
      </c>
      <c r="T9" s="26" t="s">
        <v>134</v>
      </c>
      <c r="U9" s="26" t="s">
        <v>135</v>
      </c>
      <c r="V9" s="26" t="s">
        <v>136</v>
      </c>
      <c r="W9" s="26" t="s">
        <v>137</v>
      </c>
      <c r="X9" s="26" t="s">
        <v>138</v>
      </c>
      <c r="Y9" s="26" t="s">
        <v>52</v>
      </c>
      <c r="Z9" s="26" t="s">
        <v>53</v>
      </c>
      <c r="AA9" s="26" t="s">
        <v>54</v>
      </c>
      <c r="AB9" s="26" t="s">
        <v>55</v>
      </c>
      <c r="AC9" s="26" t="s">
        <v>56</v>
      </c>
      <c r="AD9" s="26" t="s">
        <v>57</v>
      </c>
      <c r="AE9" s="26" t="s">
        <v>58</v>
      </c>
      <c r="AF9" s="26" t="s">
        <v>59</v>
      </c>
      <c r="AG9" s="26" t="s">
        <v>60</v>
      </c>
      <c r="AH9" s="26" t="s">
        <v>61</v>
      </c>
      <c r="AI9" s="26" t="s">
        <v>62</v>
      </c>
      <c r="AJ9" s="26" t="s">
        <v>63</v>
      </c>
      <c r="AK9" s="26" t="s">
        <v>64</v>
      </c>
      <c r="AL9" s="26" t="s">
        <v>65</v>
      </c>
      <c r="AM9" s="26" t="s">
        <v>66</v>
      </c>
      <c r="AN9" s="26" t="s">
        <v>67</v>
      </c>
      <c r="AO9" s="26" t="s">
        <v>68</v>
      </c>
      <c r="AP9" s="26" t="s">
        <v>69</v>
      </c>
      <c r="AQ9" s="26" t="s">
        <v>70</v>
      </c>
      <c r="AR9" s="26" t="s">
        <v>71</v>
      </c>
      <c r="AS9" s="26" t="s">
        <v>72</v>
      </c>
      <c r="AT9" s="26" t="s">
        <v>73</v>
      </c>
      <c r="AU9" s="26" t="s">
        <v>74</v>
      </c>
      <c r="AV9" s="26" t="s">
        <v>75</v>
      </c>
      <c r="AW9" s="26" t="s">
        <v>76</v>
      </c>
      <c r="AX9" s="26" t="s">
        <v>77</v>
      </c>
      <c r="AY9" s="26" t="s">
        <v>78</v>
      </c>
      <c r="AZ9" s="26" t="s">
        <v>79</v>
      </c>
      <c r="BA9" s="26" t="s">
        <v>80</v>
      </c>
      <c r="BB9" s="26" t="s">
        <v>81</v>
      </c>
      <c r="BC9" s="26" t="s">
        <v>82</v>
      </c>
      <c r="BD9" s="26" t="s">
        <v>83</v>
      </c>
      <c r="BE9" s="26" t="s">
        <v>84</v>
      </c>
      <c r="BF9" s="26" t="s">
        <v>85</v>
      </c>
      <c r="BG9" s="26" t="s">
        <v>86</v>
      </c>
      <c r="BH9" s="26" t="s">
        <v>87</v>
      </c>
      <c r="BI9" s="26" t="s">
        <v>88</v>
      </c>
      <c r="BJ9" s="26" t="s">
        <v>89</v>
      </c>
      <c r="BK9" s="26" t="s">
        <v>90</v>
      </c>
      <c r="BL9" s="26" t="s">
        <v>91</v>
      </c>
      <c r="BM9" s="26" t="s">
        <v>92</v>
      </c>
      <c r="BN9" s="26" t="s">
        <v>93</v>
      </c>
      <c r="BO9" s="26" t="s">
        <v>94</v>
      </c>
      <c r="BP9" s="26" t="s">
        <v>95</v>
      </c>
      <c r="BQ9" s="26" t="s">
        <v>48</v>
      </c>
      <c r="BR9" s="26" t="s">
        <v>96</v>
      </c>
      <c r="BS9" s="26" t="s">
        <v>47</v>
      </c>
      <c r="BT9" s="26" t="s">
        <v>97</v>
      </c>
      <c r="BU9" s="26" t="s">
        <v>98</v>
      </c>
      <c r="BV9" s="26" t="s">
        <v>49</v>
      </c>
      <c r="BW9" s="26" t="s">
        <v>44</v>
      </c>
      <c r="BX9" s="26" t="s">
        <v>99</v>
      </c>
      <c r="BY9" s="26" t="s">
        <v>45</v>
      </c>
      <c r="BZ9" s="26" t="s">
        <v>100</v>
      </c>
      <c r="CA9" s="26" t="s">
        <v>101</v>
      </c>
      <c r="CB9" s="26" t="s">
        <v>102</v>
      </c>
      <c r="CC9" s="26" t="s">
        <v>103</v>
      </c>
      <c r="CD9" s="26" t="s">
        <v>104</v>
      </c>
      <c r="CE9" s="26" t="s">
        <v>105</v>
      </c>
      <c r="CF9" s="26" t="s">
        <v>50</v>
      </c>
      <c r="CG9" s="26" t="s">
        <v>106</v>
      </c>
      <c r="CH9" s="26" t="s">
        <v>107</v>
      </c>
      <c r="CI9" s="26" t="s">
        <v>108</v>
      </c>
      <c r="CJ9" s="26" t="s">
        <v>109</v>
      </c>
      <c r="CK9" s="26" t="s">
        <v>110</v>
      </c>
      <c r="CL9" s="26" t="s">
        <v>111</v>
      </c>
      <c r="CM9" s="26" t="s">
        <v>112</v>
      </c>
      <c r="CN9" s="26" t="s">
        <v>46</v>
      </c>
      <c r="CO9" s="26" t="s">
        <v>113</v>
      </c>
      <c r="CP9" s="26" t="s">
        <v>114</v>
      </c>
      <c r="CQ9" s="26" t="s">
        <v>115</v>
      </c>
      <c r="CR9" s="26" t="s">
        <v>116</v>
      </c>
      <c r="CS9" s="26" t="s">
        <v>148</v>
      </c>
    </row>
    <row r="10" spans="1:97" ht="30.75" thickBot="1" x14ac:dyDescent="0.3">
      <c r="A10" s="1" t="s">
        <v>4</v>
      </c>
      <c r="B10" s="85" t="s">
        <v>5</v>
      </c>
      <c r="C10" s="86"/>
      <c r="D10" s="86"/>
      <c r="E10" s="86"/>
      <c r="F10" s="86"/>
      <c r="G10" s="86"/>
      <c r="H10" s="86"/>
      <c r="I10" s="86"/>
      <c r="J10" s="86"/>
      <c r="K10" s="87"/>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0"/>
    </row>
    <row r="11" spans="1:97" ht="15.75" thickBot="1" x14ac:dyDescent="0.3">
      <c r="A11" s="5" t="s">
        <v>9</v>
      </c>
      <c r="B11" s="15">
        <v>16</v>
      </c>
      <c r="C11" s="15">
        <v>85</v>
      </c>
      <c r="D11" s="15">
        <v>170</v>
      </c>
      <c r="E11" s="15">
        <v>176</v>
      </c>
      <c r="F11" s="15">
        <v>176</v>
      </c>
      <c r="G11" s="15">
        <v>184</v>
      </c>
      <c r="H11" s="15">
        <v>184</v>
      </c>
      <c r="I11" s="19">
        <v>220</v>
      </c>
      <c r="J11" s="19">
        <v>291</v>
      </c>
      <c r="K11" s="19">
        <v>291</v>
      </c>
      <c r="L11" s="19">
        <v>291</v>
      </c>
      <c r="M11" s="15">
        <v>361</v>
      </c>
      <c r="N11" s="15">
        <v>361</v>
      </c>
      <c r="O11" s="15">
        <v>361</v>
      </c>
      <c r="P11" s="15">
        <v>361</v>
      </c>
      <c r="Q11" s="15">
        <v>361</v>
      </c>
      <c r="R11" s="15">
        <v>361</v>
      </c>
      <c r="S11" s="19">
        <v>489</v>
      </c>
      <c r="T11" s="19">
        <v>527</v>
      </c>
      <c r="U11" s="19">
        <v>566</v>
      </c>
      <c r="V11" s="19">
        <v>589</v>
      </c>
      <c r="W11" s="19">
        <v>649</v>
      </c>
      <c r="X11" s="19">
        <v>693</v>
      </c>
      <c r="Y11" s="19">
        <v>710</v>
      </c>
      <c r="Z11" s="19">
        <v>770</v>
      </c>
      <c r="AA11" s="19">
        <v>775</v>
      </c>
      <c r="AB11" s="19">
        <v>802</v>
      </c>
      <c r="AC11" s="19">
        <v>872</v>
      </c>
      <c r="AD11" s="19">
        <v>930</v>
      </c>
      <c r="AE11" s="19">
        <v>930</v>
      </c>
      <c r="AF11" s="19">
        <v>1015</v>
      </c>
      <c r="AG11" s="19">
        <v>1015</v>
      </c>
      <c r="AH11" s="19">
        <v>1015</v>
      </c>
      <c r="AI11" s="19">
        <v>1035</v>
      </c>
      <c r="AJ11" s="19">
        <v>1157</v>
      </c>
      <c r="AK11" s="19">
        <v>1157</v>
      </c>
      <c r="AL11" s="19">
        <v>1251</v>
      </c>
      <c r="AM11" s="19">
        <v>1396</v>
      </c>
      <c r="AN11" s="19">
        <v>1772</v>
      </c>
      <c r="AO11" s="19">
        <v>1947</v>
      </c>
      <c r="AP11" s="19">
        <v>2300</v>
      </c>
      <c r="AQ11" s="19">
        <v>2300</v>
      </c>
      <c r="AR11" s="19">
        <v>2387</v>
      </c>
      <c r="AS11" s="19">
        <v>2387</v>
      </c>
      <c r="AT11" s="19">
        <v>2795</v>
      </c>
      <c r="AU11" s="19">
        <v>3060</v>
      </c>
      <c r="AV11" s="19">
        <v>3319</v>
      </c>
      <c r="AW11" s="19">
        <v>3541</v>
      </c>
      <c r="AX11" s="19">
        <v>3711</v>
      </c>
      <c r="AY11" s="19">
        <v>3711</v>
      </c>
      <c r="AZ11" s="19">
        <v>4161</v>
      </c>
      <c r="BA11" s="19">
        <v>4185</v>
      </c>
      <c r="BB11" s="19">
        <v>4370</v>
      </c>
      <c r="BC11" s="19">
        <v>4370</v>
      </c>
      <c r="BD11" s="19">
        <v>4449</v>
      </c>
      <c r="BE11" s="19">
        <v>4641</v>
      </c>
      <c r="BF11" s="19">
        <v>4786</v>
      </c>
      <c r="BG11" s="19">
        <v>4984</v>
      </c>
      <c r="BH11" s="19">
        <v>5342</v>
      </c>
      <c r="BI11" s="19">
        <v>5342</v>
      </c>
      <c r="BJ11" s="19">
        <v>5342</v>
      </c>
      <c r="BK11" s="19">
        <v>5525</v>
      </c>
      <c r="BL11" s="19">
        <v>5683</v>
      </c>
      <c r="BM11" s="19">
        <v>5939</v>
      </c>
      <c r="BN11" s="19">
        <v>5939</v>
      </c>
      <c r="BO11" s="19">
        <v>6204</v>
      </c>
      <c r="BP11" s="19">
        <v>6204</v>
      </c>
      <c r="BQ11" s="19">
        <v>6536</v>
      </c>
      <c r="BR11" s="19">
        <v>6799</v>
      </c>
      <c r="BS11" s="19">
        <v>6907</v>
      </c>
      <c r="BT11" s="19">
        <v>6948</v>
      </c>
      <c r="BU11" s="19">
        <v>6948</v>
      </c>
      <c r="BV11" s="19">
        <v>7497</v>
      </c>
      <c r="BW11" s="19">
        <v>8031</v>
      </c>
      <c r="BX11" s="19">
        <v>8383</v>
      </c>
      <c r="BY11" s="19"/>
      <c r="BZ11" s="19"/>
      <c r="CA11" s="19"/>
      <c r="CB11" s="19"/>
      <c r="CC11" s="19"/>
      <c r="CD11" s="19"/>
      <c r="CE11" s="19"/>
      <c r="CF11" s="19"/>
      <c r="CG11" s="19"/>
      <c r="CH11" s="19"/>
      <c r="CI11" s="19"/>
      <c r="CJ11" s="19"/>
      <c r="CK11" s="19"/>
      <c r="CL11" s="19"/>
      <c r="CM11" s="19"/>
      <c r="CN11" s="19"/>
      <c r="CO11" s="19"/>
      <c r="CP11" s="19"/>
      <c r="CQ11" s="19"/>
      <c r="CR11" s="19"/>
      <c r="CS11" s="19"/>
    </row>
    <row r="12" spans="1:97" ht="15.75" thickBot="1" x14ac:dyDescent="0.3">
      <c r="A12" s="5" t="s">
        <v>11</v>
      </c>
      <c r="B12" s="32"/>
      <c r="C12" s="32"/>
      <c r="D12" s="32"/>
      <c r="E12" s="32"/>
      <c r="F12" s="32"/>
      <c r="G12" s="15">
        <v>16</v>
      </c>
      <c r="H12" s="15">
        <v>85</v>
      </c>
      <c r="I12" s="15">
        <v>170</v>
      </c>
      <c r="J12" s="15">
        <v>176</v>
      </c>
      <c r="K12" s="15">
        <v>176</v>
      </c>
      <c r="L12" s="15">
        <v>184</v>
      </c>
      <c r="M12" s="15">
        <v>184</v>
      </c>
      <c r="N12" s="19">
        <v>220</v>
      </c>
      <c r="O12" s="19">
        <v>291</v>
      </c>
      <c r="P12" s="19">
        <v>291</v>
      </c>
      <c r="Q12" s="19">
        <v>291</v>
      </c>
      <c r="R12" s="15">
        <v>361</v>
      </c>
      <c r="S12" s="15">
        <v>361</v>
      </c>
      <c r="T12" s="15">
        <v>361</v>
      </c>
      <c r="U12" s="15">
        <v>361</v>
      </c>
      <c r="V12" s="15">
        <v>361</v>
      </c>
      <c r="W12" s="15">
        <v>361</v>
      </c>
      <c r="X12" s="19">
        <v>489</v>
      </c>
      <c r="Y12" s="19">
        <v>527</v>
      </c>
      <c r="Z12" s="19">
        <v>566</v>
      </c>
      <c r="AA12" s="19">
        <v>589</v>
      </c>
      <c r="AB12" s="19">
        <v>649</v>
      </c>
      <c r="AC12" s="19">
        <v>693</v>
      </c>
      <c r="AD12" s="19">
        <v>710</v>
      </c>
      <c r="AE12" s="19">
        <v>770</v>
      </c>
      <c r="AF12" s="19">
        <v>775</v>
      </c>
      <c r="AG12" s="19">
        <v>802</v>
      </c>
      <c r="AH12" s="19">
        <v>872</v>
      </c>
      <c r="AI12" s="19">
        <v>930</v>
      </c>
      <c r="AJ12" s="19">
        <v>930</v>
      </c>
      <c r="AK12" s="19">
        <v>1015</v>
      </c>
      <c r="AL12" s="19">
        <v>1015</v>
      </c>
      <c r="AM12" s="19">
        <v>1015</v>
      </c>
      <c r="AN12" s="19">
        <v>1035</v>
      </c>
      <c r="AO12" s="19">
        <v>1157</v>
      </c>
      <c r="AP12" s="19">
        <v>1157</v>
      </c>
      <c r="AQ12" s="19">
        <v>1251</v>
      </c>
      <c r="AR12" s="19">
        <v>1396</v>
      </c>
      <c r="AS12" s="19">
        <v>1772</v>
      </c>
      <c r="AT12" s="19">
        <v>1947</v>
      </c>
      <c r="AU12" s="19">
        <v>2300</v>
      </c>
      <c r="AV12" s="19">
        <v>2300</v>
      </c>
      <c r="AW12" s="19">
        <v>2387</v>
      </c>
      <c r="AX12" s="19">
        <v>2387</v>
      </c>
      <c r="AY12" s="19">
        <v>2795</v>
      </c>
      <c r="AZ12" s="19">
        <v>3060</v>
      </c>
      <c r="BA12" s="19">
        <v>3319</v>
      </c>
      <c r="BB12" s="19">
        <v>3541</v>
      </c>
      <c r="BC12" s="19">
        <v>3711</v>
      </c>
      <c r="BD12" s="19">
        <v>3711</v>
      </c>
      <c r="BE12" s="19">
        <v>4161</v>
      </c>
      <c r="BF12" s="19">
        <v>4185</v>
      </c>
      <c r="BG12" s="19">
        <v>4370</v>
      </c>
      <c r="BH12" s="19">
        <v>4370</v>
      </c>
      <c r="BI12" s="19">
        <v>4449</v>
      </c>
      <c r="BJ12" s="19">
        <v>4641</v>
      </c>
      <c r="BK12" s="19">
        <v>4786</v>
      </c>
      <c r="BL12" s="19">
        <v>4984</v>
      </c>
      <c r="BM12" s="19">
        <v>5342</v>
      </c>
      <c r="BN12" s="19">
        <v>5342</v>
      </c>
      <c r="BO12" s="19">
        <v>5342</v>
      </c>
      <c r="BP12" s="19">
        <v>5525</v>
      </c>
      <c r="BQ12" s="19">
        <v>5683</v>
      </c>
      <c r="BR12" s="19">
        <v>5939</v>
      </c>
      <c r="BS12" s="19">
        <v>5939</v>
      </c>
      <c r="BT12" s="19">
        <v>6204</v>
      </c>
      <c r="BU12" s="19">
        <v>6204</v>
      </c>
      <c r="BV12" s="19">
        <v>6536</v>
      </c>
      <c r="BW12" s="19">
        <v>6799</v>
      </c>
      <c r="BX12" s="19">
        <v>6907</v>
      </c>
      <c r="BY12" s="19">
        <v>6948</v>
      </c>
      <c r="BZ12" s="19">
        <v>6948</v>
      </c>
      <c r="CA12" s="19">
        <v>7497</v>
      </c>
      <c r="CB12" s="19">
        <v>8031</v>
      </c>
      <c r="CC12" s="19">
        <v>8383</v>
      </c>
      <c r="CD12" s="15"/>
      <c r="CE12" s="15"/>
      <c r="CF12" s="15"/>
      <c r="CG12" s="15"/>
      <c r="CH12" s="15"/>
      <c r="CI12" s="15"/>
      <c r="CJ12" s="15"/>
      <c r="CK12" s="15"/>
      <c r="CL12" s="15"/>
      <c r="CM12" s="15"/>
      <c r="CN12" s="15"/>
      <c r="CO12" s="15"/>
      <c r="CP12" s="15"/>
      <c r="CQ12" s="15"/>
      <c r="CR12" s="15"/>
      <c r="CS12" s="15"/>
    </row>
    <row r="13" spans="1:97" ht="15.75" thickBot="1" x14ac:dyDescent="0.3">
      <c r="A13" s="5" t="s">
        <v>13</v>
      </c>
      <c r="B13" s="32"/>
      <c r="C13" s="32"/>
      <c r="D13" s="32"/>
      <c r="E13" s="32"/>
      <c r="F13" s="32"/>
      <c r="G13" s="15"/>
      <c r="H13" s="16">
        <v>16</v>
      </c>
      <c r="I13" s="15">
        <v>85</v>
      </c>
      <c r="J13" s="15">
        <v>170</v>
      </c>
      <c r="K13" s="15">
        <v>176</v>
      </c>
      <c r="L13" s="15">
        <v>176</v>
      </c>
      <c r="M13" s="15">
        <v>184</v>
      </c>
      <c r="N13" s="15">
        <v>184</v>
      </c>
      <c r="O13" s="19">
        <v>220</v>
      </c>
      <c r="P13" s="19">
        <v>291</v>
      </c>
      <c r="Q13" s="19">
        <v>291</v>
      </c>
      <c r="R13" s="19">
        <v>291</v>
      </c>
      <c r="S13" s="15">
        <v>361</v>
      </c>
      <c r="T13" s="15">
        <v>361</v>
      </c>
      <c r="U13" s="15">
        <v>361</v>
      </c>
      <c r="V13" s="15">
        <v>361</v>
      </c>
      <c r="W13" s="15">
        <v>361</v>
      </c>
      <c r="X13" s="15">
        <v>361</v>
      </c>
      <c r="Y13" s="19">
        <v>489</v>
      </c>
      <c r="Z13" s="19">
        <v>527</v>
      </c>
      <c r="AA13" s="19">
        <v>566</v>
      </c>
      <c r="AB13" s="19">
        <v>589</v>
      </c>
      <c r="AC13" s="19">
        <v>649</v>
      </c>
      <c r="AD13" s="19">
        <v>693</v>
      </c>
      <c r="AE13" s="19">
        <v>710</v>
      </c>
      <c r="AF13" s="19">
        <v>770</v>
      </c>
      <c r="AG13" s="19">
        <v>775</v>
      </c>
      <c r="AH13" s="19">
        <v>802</v>
      </c>
      <c r="AI13" s="19">
        <v>872</v>
      </c>
      <c r="AJ13" s="19">
        <v>930</v>
      </c>
      <c r="AK13" s="19">
        <v>930</v>
      </c>
      <c r="AL13" s="19">
        <v>1015</v>
      </c>
      <c r="AM13" s="19">
        <v>1015</v>
      </c>
      <c r="AN13" s="19">
        <v>1015</v>
      </c>
      <c r="AO13" s="19">
        <v>1035</v>
      </c>
      <c r="AP13" s="19">
        <v>1157</v>
      </c>
      <c r="AQ13" s="19">
        <v>1157</v>
      </c>
      <c r="AR13" s="19">
        <v>1251</v>
      </c>
      <c r="AS13" s="19">
        <v>1396</v>
      </c>
      <c r="AT13" s="19">
        <v>1772</v>
      </c>
      <c r="AU13" s="19">
        <v>1947</v>
      </c>
      <c r="AV13" s="19">
        <v>2300</v>
      </c>
      <c r="AW13" s="19">
        <v>2300</v>
      </c>
      <c r="AX13" s="19">
        <v>2387</v>
      </c>
      <c r="AY13" s="19">
        <v>2387</v>
      </c>
      <c r="AZ13" s="19">
        <v>2795</v>
      </c>
      <c r="BA13" s="19">
        <v>3060</v>
      </c>
      <c r="BB13" s="19">
        <v>3319</v>
      </c>
      <c r="BC13" s="19">
        <v>3541</v>
      </c>
      <c r="BD13" s="19">
        <v>3711</v>
      </c>
      <c r="BE13" s="19">
        <v>3711</v>
      </c>
      <c r="BF13" s="19">
        <v>4161</v>
      </c>
      <c r="BG13" s="19">
        <v>4185</v>
      </c>
      <c r="BH13" s="19">
        <v>4370</v>
      </c>
      <c r="BI13" s="19">
        <v>4370</v>
      </c>
      <c r="BJ13" s="19">
        <v>4449</v>
      </c>
      <c r="BK13" s="19">
        <v>4641</v>
      </c>
      <c r="BL13" s="19">
        <v>4786</v>
      </c>
      <c r="BM13" s="19">
        <v>4984</v>
      </c>
      <c r="BN13" s="19">
        <v>5342</v>
      </c>
      <c r="BO13" s="19">
        <v>5342</v>
      </c>
      <c r="BP13" s="19">
        <v>5342</v>
      </c>
      <c r="BQ13" s="19">
        <v>5525</v>
      </c>
      <c r="BR13" s="19">
        <v>5683</v>
      </c>
      <c r="BS13" s="19">
        <v>5939</v>
      </c>
      <c r="BT13" s="19">
        <v>5939</v>
      </c>
      <c r="BU13" s="19">
        <v>6204</v>
      </c>
      <c r="BV13" s="19">
        <v>6204</v>
      </c>
      <c r="BW13" s="19">
        <v>6536</v>
      </c>
      <c r="BX13" s="19">
        <v>6799</v>
      </c>
      <c r="BY13" s="19">
        <v>6907</v>
      </c>
      <c r="BZ13" s="19">
        <v>6948</v>
      </c>
      <c r="CA13" s="19">
        <v>6948</v>
      </c>
      <c r="CB13" s="19">
        <v>7497</v>
      </c>
      <c r="CC13" s="19">
        <v>8031</v>
      </c>
      <c r="CD13" s="19">
        <v>8383</v>
      </c>
      <c r="CE13" s="15"/>
      <c r="CF13" s="15"/>
      <c r="CG13" s="15"/>
      <c r="CH13" s="15"/>
      <c r="CI13" s="15"/>
      <c r="CJ13" s="15"/>
      <c r="CK13" s="15"/>
      <c r="CL13" s="15"/>
      <c r="CM13" s="15"/>
      <c r="CN13" s="15"/>
      <c r="CO13" s="15"/>
      <c r="CP13" s="15"/>
      <c r="CQ13" s="15"/>
      <c r="CR13" s="15"/>
      <c r="CS13" s="15"/>
    </row>
    <row r="14" spans="1:97" ht="15.75" thickBot="1" x14ac:dyDescent="0.3">
      <c r="A14" s="5" t="s">
        <v>16</v>
      </c>
      <c r="B14" s="32"/>
      <c r="C14" s="32"/>
      <c r="D14" s="32"/>
      <c r="E14" s="32"/>
      <c r="F14" s="32"/>
      <c r="G14" s="15"/>
      <c r="H14" s="16">
        <v>16</v>
      </c>
      <c r="I14" s="15">
        <v>85</v>
      </c>
      <c r="J14" s="15">
        <v>170</v>
      </c>
      <c r="K14" s="15">
        <v>176</v>
      </c>
      <c r="L14" s="15">
        <v>176</v>
      </c>
      <c r="M14" s="15">
        <v>184</v>
      </c>
      <c r="N14" s="15">
        <v>184</v>
      </c>
      <c r="O14" s="19">
        <v>220</v>
      </c>
      <c r="P14" s="19">
        <v>291</v>
      </c>
      <c r="Q14" s="19">
        <v>291</v>
      </c>
      <c r="R14" s="19">
        <v>291</v>
      </c>
      <c r="S14" s="15">
        <v>361</v>
      </c>
      <c r="T14" s="15">
        <v>361</v>
      </c>
      <c r="U14" s="15">
        <v>361</v>
      </c>
      <c r="V14" s="15">
        <v>361</v>
      </c>
      <c r="W14" s="15">
        <v>361</v>
      </c>
      <c r="X14" s="15">
        <v>361</v>
      </c>
      <c r="Y14" s="19">
        <v>489</v>
      </c>
      <c r="Z14" s="19">
        <v>527</v>
      </c>
      <c r="AA14" s="19">
        <v>566</v>
      </c>
      <c r="AB14" s="19">
        <v>589</v>
      </c>
      <c r="AC14" s="19">
        <v>649</v>
      </c>
      <c r="AD14" s="19">
        <v>693</v>
      </c>
      <c r="AE14" s="19">
        <v>710</v>
      </c>
      <c r="AF14" s="19">
        <v>770</v>
      </c>
      <c r="AG14" s="19">
        <v>775</v>
      </c>
      <c r="AH14" s="19">
        <v>802</v>
      </c>
      <c r="AI14" s="19">
        <v>872</v>
      </c>
      <c r="AJ14" s="19">
        <v>930</v>
      </c>
      <c r="AK14" s="19">
        <v>930</v>
      </c>
      <c r="AL14" s="19">
        <v>1015</v>
      </c>
      <c r="AM14" s="19">
        <v>1015</v>
      </c>
      <c r="AN14" s="19">
        <v>1015</v>
      </c>
      <c r="AO14" s="19">
        <v>1035</v>
      </c>
      <c r="AP14" s="19">
        <v>1157</v>
      </c>
      <c r="AQ14" s="19">
        <v>1157</v>
      </c>
      <c r="AR14" s="19">
        <v>1251</v>
      </c>
      <c r="AS14" s="19">
        <v>1396</v>
      </c>
      <c r="AT14" s="19">
        <v>1772</v>
      </c>
      <c r="AU14" s="19">
        <v>1947</v>
      </c>
      <c r="AV14" s="19">
        <v>2300</v>
      </c>
      <c r="AW14" s="19">
        <v>2300</v>
      </c>
      <c r="AX14" s="19">
        <v>2387</v>
      </c>
      <c r="AY14" s="19">
        <v>2387</v>
      </c>
      <c r="AZ14" s="19">
        <v>2795</v>
      </c>
      <c r="BA14" s="19">
        <v>3060</v>
      </c>
      <c r="BB14" s="19">
        <v>3319</v>
      </c>
      <c r="BC14" s="19">
        <v>3541</v>
      </c>
      <c r="BD14" s="19">
        <v>3711</v>
      </c>
      <c r="BE14" s="19">
        <v>3711</v>
      </c>
      <c r="BF14" s="19">
        <v>4161</v>
      </c>
      <c r="BG14" s="19">
        <v>4185</v>
      </c>
      <c r="BH14" s="19">
        <v>4370</v>
      </c>
      <c r="BI14" s="19">
        <v>4370</v>
      </c>
      <c r="BJ14" s="19">
        <v>4449</v>
      </c>
      <c r="BK14" s="19">
        <v>4641</v>
      </c>
      <c r="BL14" s="19">
        <v>4786</v>
      </c>
      <c r="BM14" s="19">
        <v>4984</v>
      </c>
      <c r="BN14" s="19">
        <v>5342</v>
      </c>
      <c r="BO14" s="19">
        <v>5342</v>
      </c>
      <c r="BP14" s="19">
        <v>5342</v>
      </c>
      <c r="BQ14" s="19">
        <v>5525</v>
      </c>
      <c r="BR14" s="19">
        <v>5683</v>
      </c>
      <c r="BS14" s="19">
        <v>5939</v>
      </c>
      <c r="BT14" s="19">
        <v>5939</v>
      </c>
      <c r="BU14" s="19">
        <v>6204</v>
      </c>
      <c r="BV14" s="19">
        <v>6204</v>
      </c>
      <c r="BW14" s="19">
        <v>6536</v>
      </c>
      <c r="BX14" s="19">
        <v>6799</v>
      </c>
      <c r="BY14" s="19">
        <v>6907</v>
      </c>
      <c r="BZ14" s="19">
        <v>6948</v>
      </c>
      <c r="CA14" s="19">
        <v>6948</v>
      </c>
      <c r="CB14" s="19">
        <v>7497</v>
      </c>
      <c r="CC14" s="19">
        <v>8031</v>
      </c>
      <c r="CD14" s="19">
        <v>8383</v>
      </c>
      <c r="CE14" s="15"/>
      <c r="CF14" s="15"/>
      <c r="CG14" s="15"/>
      <c r="CH14" s="15"/>
      <c r="CI14" s="15"/>
      <c r="CJ14" s="15"/>
      <c r="CK14" s="15"/>
      <c r="CL14" s="15"/>
      <c r="CM14" s="15"/>
      <c r="CN14" s="15"/>
      <c r="CO14" s="15"/>
      <c r="CP14" s="15"/>
      <c r="CQ14" s="15"/>
      <c r="CR14" s="15"/>
      <c r="CS14" s="15"/>
    </row>
    <row r="15" spans="1:97" ht="15.75" thickBot="1" x14ac:dyDescent="0.3">
      <c r="A15" s="5" t="s">
        <v>39</v>
      </c>
      <c r="B15" s="32"/>
      <c r="C15" s="32"/>
      <c r="D15" s="32"/>
      <c r="E15" s="32"/>
      <c r="F15" s="32"/>
      <c r="G15" s="32"/>
      <c r="H15" s="37"/>
      <c r="I15" s="15"/>
      <c r="J15" s="15"/>
      <c r="K15" s="15"/>
      <c r="L15" s="15"/>
      <c r="M15" s="15"/>
      <c r="N15" s="15"/>
      <c r="O15" s="15"/>
      <c r="P15" s="15"/>
      <c r="Q15" s="15"/>
      <c r="R15" s="15">
        <v>16</v>
      </c>
      <c r="S15" s="15">
        <v>85</v>
      </c>
      <c r="T15" s="15">
        <v>170</v>
      </c>
      <c r="U15" s="15">
        <v>176</v>
      </c>
      <c r="V15" s="15">
        <v>176</v>
      </c>
      <c r="W15" s="15">
        <v>184</v>
      </c>
      <c r="X15" s="15">
        <v>184</v>
      </c>
      <c r="Y15" s="19">
        <v>220</v>
      </c>
      <c r="Z15" s="19">
        <v>291</v>
      </c>
      <c r="AA15" s="19">
        <v>291</v>
      </c>
      <c r="AB15" s="19">
        <v>291</v>
      </c>
      <c r="AC15" s="15">
        <v>361</v>
      </c>
      <c r="AD15" s="15">
        <v>361</v>
      </c>
      <c r="AE15" s="15">
        <v>361</v>
      </c>
      <c r="AF15" s="15">
        <v>361</v>
      </c>
      <c r="AG15" s="15">
        <v>361</v>
      </c>
      <c r="AH15" s="15">
        <v>361</v>
      </c>
      <c r="AI15" s="19">
        <v>489</v>
      </c>
      <c r="AJ15" s="19">
        <v>527</v>
      </c>
      <c r="AK15" s="19">
        <v>566</v>
      </c>
      <c r="AL15" s="19">
        <v>589</v>
      </c>
      <c r="AM15" s="19">
        <v>649</v>
      </c>
      <c r="AN15" s="19">
        <v>693</v>
      </c>
      <c r="AO15" s="19">
        <v>710</v>
      </c>
      <c r="AP15" s="19">
        <v>770</v>
      </c>
      <c r="AQ15" s="19">
        <v>775</v>
      </c>
      <c r="AR15" s="19">
        <v>802</v>
      </c>
      <c r="AS15" s="19">
        <v>872</v>
      </c>
      <c r="AT15" s="19">
        <v>930</v>
      </c>
      <c r="AU15" s="19">
        <v>930</v>
      </c>
      <c r="AV15" s="19">
        <v>1015</v>
      </c>
      <c r="AW15" s="19">
        <v>1015</v>
      </c>
      <c r="AX15" s="19">
        <v>1015</v>
      </c>
      <c r="AY15" s="19">
        <v>1035</v>
      </c>
      <c r="AZ15" s="19">
        <v>1157</v>
      </c>
      <c r="BA15" s="19">
        <v>1157</v>
      </c>
      <c r="BB15" s="19">
        <v>1251</v>
      </c>
      <c r="BC15" s="19">
        <v>1396</v>
      </c>
      <c r="BD15" s="19">
        <v>1772</v>
      </c>
      <c r="BE15" s="19">
        <v>1947</v>
      </c>
      <c r="BF15" s="19">
        <v>2300</v>
      </c>
      <c r="BG15" s="19">
        <v>2300</v>
      </c>
      <c r="BH15" s="19">
        <v>2387</v>
      </c>
      <c r="BI15" s="19">
        <v>2387</v>
      </c>
      <c r="BJ15" s="19">
        <v>2795</v>
      </c>
      <c r="BK15" s="19">
        <v>3060</v>
      </c>
      <c r="BL15" s="19">
        <v>3319</v>
      </c>
      <c r="BM15" s="19">
        <v>3541</v>
      </c>
      <c r="BN15" s="19">
        <v>3711</v>
      </c>
      <c r="BO15" s="19">
        <v>3711</v>
      </c>
      <c r="BP15" s="19">
        <v>4161</v>
      </c>
      <c r="BQ15" s="19">
        <v>4185</v>
      </c>
      <c r="BR15" s="19">
        <v>4370</v>
      </c>
      <c r="BS15" s="19">
        <v>4370</v>
      </c>
      <c r="BT15" s="19">
        <v>4449</v>
      </c>
      <c r="BU15" s="19">
        <v>4641</v>
      </c>
      <c r="BV15" s="19">
        <v>4786</v>
      </c>
      <c r="BW15" s="19">
        <v>4984</v>
      </c>
      <c r="BX15" s="19">
        <v>5342</v>
      </c>
      <c r="BY15" s="19">
        <v>5342</v>
      </c>
      <c r="BZ15" s="19">
        <v>5342</v>
      </c>
      <c r="CA15" s="19">
        <v>5525</v>
      </c>
      <c r="CB15" s="19">
        <v>5683</v>
      </c>
      <c r="CC15" s="19">
        <v>5939</v>
      </c>
      <c r="CD15" s="19">
        <v>5939</v>
      </c>
      <c r="CE15" s="19">
        <v>6204</v>
      </c>
      <c r="CF15" s="19">
        <v>6204</v>
      </c>
      <c r="CG15" s="19">
        <v>6536</v>
      </c>
      <c r="CH15" s="19">
        <v>6799</v>
      </c>
      <c r="CI15" s="19">
        <v>6907</v>
      </c>
      <c r="CJ15" s="19">
        <v>6948</v>
      </c>
      <c r="CK15" s="19">
        <v>6948</v>
      </c>
      <c r="CL15" s="19">
        <v>7497</v>
      </c>
      <c r="CM15" s="19">
        <v>8031</v>
      </c>
      <c r="CN15" s="19">
        <v>8383</v>
      </c>
      <c r="CO15" s="15"/>
      <c r="CP15" s="15"/>
      <c r="CQ15" s="15"/>
      <c r="CR15" s="15"/>
      <c r="CS15" s="15"/>
    </row>
    <row r="16" spans="1:97" ht="15.75" thickBot="1" x14ac:dyDescent="0.3">
      <c r="A16" s="5" t="s">
        <v>146</v>
      </c>
      <c r="B16" s="38"/>
      <c r="C16" s="38"/>
      <c r="D16" s="38"/>
      <c r="E16" s="38"/>
      <c r="F16" s="38"/>
      <c r="G16" s="38"/>
      <c r="H16" s="39"/>
      <c r="I16" s="38"/>
      <c r="J16" s="17"/>
      <c r="K16" s="17"/>
      <c r="L16" s="17"/>
      <c r="M16" s="17"/>
      <c r="N16" s="17"/>
      <c r="O16" s="17"/>
      <c r="P16" s="17"/>
      <c r="Q16" s="17"/>
      <c r="R16" s="17"/>
      <c r="S16" s="17"/>
      <c r="T16" s="17"/>
      <c r="U16" s="17"/>
      <c r="V16" s="17"/>
      <c r="W16" s="17">
        <v>16</v>
      </c>
      <c r="X16" s="15">
        <v>85</v>
      </c>
      <c r="Y16" s="15">
        <v>170</v>
      </c>
      <c r="Z16" s="15">
        <v>176</v>
      </c>
      <c r="AA16" s="15">
        <v>176</v>
      </c>
      <c r="AB16" s="15">
        <v>184</v>
      </c>
      <c r="AC16" s="15">
        <v>184</v>
      </c>
      <c r="AD16" s="19">
        <v>220</v>
      </c>
      <c r="AE16" s="19">
        <v>291</v>
      </c>
      <c r="AF16" s="19">
        <v>291</v>
      </c>
      <c r="AG16" s="17">
        <v>291</v>
      </c>
      <c r="AH16" s="17">
        <v>361</v>
      </c>
      <c r="AI16" s="17">
        <v>361</v>
      </c>
      <c r="AJ16" s="17">
        <v>361</v>
      </c>
      <c r="AK16" s="17">
        <v>361</v>
      </c>
      <c r="AL16" s="17">
        <v>361</v>
      </c>
      <c r="AM16" s="17">
        <v>361</v>
      </c>
      <c r="AN16" s="17">
        <v>489</v>
      </c>
      <c r="AO16" s="17">
        <v>527</v>
      </c>
      <c r="AP16" s="17">
        <v>566</v>
      </c>
      <c r="AQ16" s="17">
        <v>589</v>
      </c>
      <c r="AR16" s="17">
        <v>649</v>
      </c>
      <c r="AS16" s="17">
        <v>693</v>
      </c>
      <c r="AT16" s="17">
        <v>710</v>
      </c>
      <c r="AU16" s="17">
        <v>770</v>
      </c>
      <c r="AV16" s="17">
        <v>775</v>
      </c>
      <c r="AW16" s="17">
        <v>802</v>
      </c>
      <c r="AX16" s="17">
        <v>872</v>
      </c>
      <c r="AY16" s="17">
        <v>930</v>
      </c>
      <c r="AZ16" s="17">
        <v>930</v>
      </c>
      <c r="BA16" s="17">
        <v>1015</v>
      </c>
      <c r="BB16" s="17">
        <v>1015</v>
      </c>
      <c r="BC16" s="17">
        <v>1015</v>
      </c>
      <c r="BD16" s="17">
        <v>1035</v>
      </c>
      <c r="BE16" s="17">
        <v>1157</v>
      </c>
      <c r="BF16" s="17">
        <v>1157</v>
      </c>
      <c r="BG16" s="17">
        <v>1251</v>
      </c>
      <c r="BH16" s="17">
        <v>1396</v>
      </c>
      <c r="BI16" s="17">
        <v>1772</v>
      </c>
      <c r="BJ16" s="17">
        <v>1947</v>
      </c>
      <c r="BK16" s="17">
        <v>2300</v>
      </c>
      <c r="BL16" s="17">
        <v>2300</v>
      </c>
      <c r="BM16" s="17">
        <v>2387</v>
      </c>
      <c r="BN16" s="17">
        <v>2387</v>
      </c>
      <c r="BO16" s="17">
        <v>2795</v>
      </c>
      <c r="BP16" s="17">
        <v>3060</v>
      </c>
      <c r="BQ16" s="17">
        <v>3319</v>
      </c>
      <c r="BR16" s="17">
        <v>3541</v>
      </c>
      <c r="BS16" s="17">
        <v>3711</v>
      </c>
      <c r="BT16" s="17">
        <v>3711</v>
      </c>
      <c r="BU16" s="17">
        <v>4161</v>
      </c>
      <c r="BV16" s="17">
        <v>4185</v>
      </c>
      <c r="BW16" s="17">
        <v>4370</v>
      </c>
      <c r="BX16" s="17">
        <v>4370</v>
      </c>
      <c r="BY16" s="17">
        <v>4449</v>
      </c>
      <c r="BZ16" s="17">
        <v>4641</v>
      </c>
      <c r="CA16" s="17">
        <v>4786</v>
      </c>
      <c r="CB16" s="17">
        <v>4984</v>
      </c>
      <c r="CC16" s="17">
        <v>5342</v>
      </c>
      <c r="CD16" s="17">
        <v>5342</v>
      </c>
      <c r="CE16" s="17">
        <v>5342</v>
      </c>
      <c r="CF16" s="17">
        <v>5525</v>
      </c>
      <c r="CG16" s="17">
        <v>5683</v>
      </c>
      <c r="CH16" s="17">
        <v>5939</v>
      </c>
      <c r="CI16" s="17">
        <v>5939</v>
      </c>
      <c r="CJ16" s="17">
        <v>6204</v>
      </c>
      <c r="CK16" s="17">
        <v>6204</v>
      </c>
      <c r="CL16" s="17">
        <v>6536</v>
      </c>
      <c r="CM16" s="17">
        <v>6799</v>
      </c>
      <c r="CN16" s="17">
        <v>6907</v>
      </c>
      <c r="CO16" s="17">
        <v>6948</v>
      </c>
      <c r="CP16" s="17">
        <v>6948</v>
      </c>
      <c r="CQ16" s="17">
        <v>7497</v>
      </c>
      <c r="CR16" s="17">
        <v>8031</v>
      </c>
      <c r="CS16" s="17">
        <v>8383</v>
      </c>
    </row>
    <row r="17" spans="1:11" ht="15.75" thickBot="1" x14ac:dyDescent="0.3"/>
    <row r="18" spans="1:11" x14ac:dyDescent="0.25">
      <c r="A18" s="82" t="s">
        <v>20</v>
      </c>
      <c r="B18" s="83"/>
      <c r="C18" s="83"/>
      <c r="D18" s="83"/>
      <c r="E18" s="83"/>
      <c r="F18" s="83"/>
      <c r="G18" s="83"/>
      <c r="H18" s="83"/>
      <c r="I18" s="83"/>
      <c r="J18" s="83"/>
      <c r="K18" s="84"/>
    </row>
    <row r="19" spans="1:11" x14ac:dyDescent="0.25">
      <c r="A19" s="74" t="s">
        <v>21</v>
      </c>
      <c r="B19" s="75"/>
      <c r="C19" s="75"/>
      <c r="D19" s="75"/>
      <c r="E19" s="75"/>
      <c r="F19" s="75"/>
      <c r="G19" s="75"/>
      <c r="H19" s="75"/>
      <c r="I19" s="75"/>
      <c r="J19" s="75"/>
      <c r="K19" s="76"/>
    </row>
    <row r="20" spans="1:11" x14ac:dyDescent="0.25">
      <c r="A20" s="74" t="s">
        <v>22</v>
      </c>
      <c r="B20" s="75"/>
      <c r="C20" s="75"/>
      <c r="D20" s="75"/>
      <c r="E20" s="75"/>
      <c r="F20" s="75"/>
      <c r="G20" s="75"/>
      <c r="H20" s="75"/>
      <c r="I20" s="75"/>
      <c r="J20" s="75"/>
      <c r="K20" s="76"/>
    </row>
    <row r="21" spans="1:11" ht="15.75" thickBot="1" x14ac:dyDescent="0.3">
      <c r="A21" s="77" t="s">
        <v>23</v>
      </c>
      <c r="B21" s="78"/>
      <c r="C21" s="78"/>
      <c r="D21" s="78"/>
      <c r="E21" s="78"/>
      <c r="F21" s="78"/>
      <c r="G21" s="78"/>
      <c r="H21" s="78"/>
      <c r="I21" s="78"/>
      <c r="J21" s="78"/>
      <c r="K21" s="79"/>
    </row>
  </sheetData>
  <mergeCells count="16">
    <mergeCell ref="A19:K19"/>
    <mergeCell ref="A20:K20"/>
    <mergeCell ref="A21:K21"/>
    <mergeCell ref="A5:D5"/>
    <mergeCell ref="E5:K5"/>
    <mergeCell ref="A6:D6"/>
    <mergeCell ref="E6:K6"/>
    <mergeCell ref="A18:K18"/>
    <mergeCell ref="B10:K10"/>
    <mergeCell ref="A4:D4"/>
    <mergeCell ref="E4:K4"/>
    <mergeCell ref="A1:K1"/>
    <mergeCell ref="A2:D2"/>
    <mergeCell ref="E2:K2"/>
    <mergeCell ref="A3:D3"/>
    <mergeCell ref="E3:K3"/>
  </mergeCells>
  <conditionalFormatting sqref="B9">
    <cfRule type="containsText" dxfId="40" priority="3" operator="containsText" text="10/12/xxxx">
      <formula>NOT(ISERROR(SEARCH("10/12/xxxx",B9)))</formula>
    </cfRule>
  </conditionalFormatting>
  <conditionalFormatting sqref="B7:C7">
    <cfRule type="containsText" dxfId="39" priority="16" operator="containsText" text="10/12/xxxx">
      <formula>NOT(ISERROR(SEARCH("10/12/xxxx",B7)))</formula>
    </cfRule>
  </conditionalFormatting>
  <conditionalFormatting sqref="C9">
    <cfRule type="containsText" dxfId="38" priority="4" operator="containsText" text="10/12/xxxx">
      <formula>NOT(ISERROR(SEARCH("10/12/xxxx",C9)))</formula>
    </cfRule>
  </conditionalFormatting>
  <conditionalFormatting sqref="D7">
    <cfRule type="containsText" dxfId="37" priority="17" operator="containsText" text="10/12/xxxx">
      <formula>NOT(ISERROR(SEARCH("10/12/xxxx",D7)))</formula>
    </cfRule>
  </conditionalFormatting>
  <conditionalFormatting sqref="D9">
    <cfRule type="containsText" dxfId="36" priority="2" operator="containsText" text="10/12/xxxx">
      <formula>NOT(ISERROR(SEARCH("10/12/xxxx",D9)))</formula>
    </cfRule>
  </conditionalFormatting>
  <conditionalFormatting sqref="E7">
    <cfRule type="containsText" dxfId="35" priority="15" operator="containsText" text="10/12/xxxx">
      <formula>NOT(ISERROR(SEARCH("10/12/xxxx",E7)))</formula>
    </cfRule>
  </conditionalFormatting>
  <conditionalFormatting sqref="E9">
    <cfRule type="containsText" dxfId="34" priority="1" operator="containsText" text="10/12/xxxx">
      <formula>NOT(ISERROR(SEARCH("10/12/xxxx",E9)))</formula>
    </cfRule>
  </conditionalFormatting>
  <conditionalFormatting sqref="F7:Z7">
    <cfRule type="containsText" dxfId="33" priority="14" operator="containsText" text="10/12/xxxx">
      <formula>NOT(ISERROR(SEARCH("10/12/xxxx",F7)))</formula>
    </cfRule>
  </conditionalFormatting>
  <conditionalFormatting sqref="F9:DC9">
    <cfRule type="containsText" dxfId="32" priority="5" operator="containsText" text="10/12/xxxx">
      <formula>NOT(ISERROR(SEARCH("10/12/xxxx",F9)))</formula>
    </cfRule>
  </conditionalFormatting>
  <conditionalFormatting sqref="AA7:BX7">
    <cfRule type="containsText" dxfId="31" priority="13" operator="containsText" text="10/12/xxxx">
      <formula>NOT(ISERROR(SEARCH("10/12/xxxx",AA7)))</formula>
    </cfRule>
  </conditionalFormatting>
  <conditionalFormatting sqref="BY7:CR7">
    <cfRule type="containsText" dxfId="30" priority="12" operator="containsText" text="10/12/xxxx">
      <formula>NOT(ISERROR(SEARCH("10/12/xxxx",BY7)))</formula>
    </cfRule>
  </conditionalFormatting>
  <dataValidations count="5">
    <dataValidation allowBlank="1" showInputMessage="1" showErrorMessage="1" promptTitle="Insert Date" prompt="Please insert the date the area is available for rehabilitation" sqref="B7:CR7 B9:DC9" xr:uid="{7F947B91-63BA-44E1-B57D-706CF21AA5AF}"/>
    <dataValidation allowBlank="1" showInputMessage="1" showErrorMessage="1" promptTitle="Insert Area (ha)" prompt="Please insert the cumulative area available in hectares (ha)" sqref="B8:R8" xr:uid="{4DA85E93-9AB3-4A5B-99CB-26B183BD669F}"/>
    <dataValidation allowBlank="1" showInputMessage="1" showErrorMessage="1" prompt="Please input the correct Rehabilitation Area number (RA#)" sqref="E2:K2" xr:uid="{0BD527C2-CE65-4EF7-A0B7-3492D3135B72}"/>
    <dataValidation allowBlank="1" showInputMessage="1" showErrorMessage="1" promptTitle="Rehabilitation Milestone" prompt="Insert the Rehabilitation Milestone number here (RM#)" sqref="H12:Q12 H13:R15 H15:AB15 G16:V16 A12:A15 G12:G15 A11:L11 X16:AG16" xr:uid="{B0BC339A-186A-421F-90D2-897BAF6E04E5}"/>
    <dataValidation allowBlank="1" showInputMessage="1" showErrorMessage="1" promptTitle="Insert Area (ha)" prompt="Please insert the cumulative area achieved in hectares (ha) as required" sqref="G12:CU15 G16:V16 B11:CP11 X16:CS16" xr:uid="{05A99C9C-FE65-4A00-B104-FA41C7E1E167}"/>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F5094-A7A4-41E0-945A-D04693A0C991}">
  <sheetPr codeName="Sheet8"/>
  <dimension ref="A1:CO21"/>
  <sheetViews>
    <sheetView zoomScaleNormal="100" workbookViewId="0">
      <selection activeCell="CW19" sqref="CW19"/>
    </sheetView>
  </sheetViews>
  <sheetFormatPr defaultColWidth="12.140625" defaultRowHeight="15" x14ac:dyDescent="0.25"/>
  <cols>
    <col min="1" max="1" width="15.7109375" style="2" customWidth="1"/>
    <col min="2" max="112" width="13.85546875" customWidth="1"/>
  </cols>
  <sheetData>
    <row r="1" spans="1:93" ht="23.25" customHeight="1" thickBot="1" x14ac:dyDescent="0.35">
      <c r="A1" s="71" t="s">
        <v>25</v>
      </c>
      <c r="B1" s="72"/>
      <c r="C1" s="72"/>
      <c r="D1" s="72"/>
      <c r="E1" s="72"/>
      <c r="F1" s="72"/>
      <c r="G1" s="72"/>
      <c r="H1" s="72"/>
      <c r="I1" s="72"/>
      <c r="J1" s="72"/>
      <c r="K1" s="73"/>
    </row>
    <row r="2" spans="1:93" ht="15.95" customHeight="1" thickBot="1" x14ac:dyDescent="0.3">
      <c r="A2" s="69" t="s">
        <v>0</v>
      </c>
      <c r="B2" s="69"/>
      <c r="C2" s="69"/>
      <c r="D2" s="69"/>
      <c r="E2" s="70" t="s">
        <v>27</v>
      </c>
      <c r="F2" s="70"/>
      <c r="G2" s="70"/>
      <c r="H2" s="70"/>
      <c r="I2" s="70"/>
      <c r="J2" s="70"/>
      <c r="K2" s="70"/>
    </row>
    <row r="3" spans="1:93" ht="15.95" customHeight="1" thickBot="1" x14ac:dyDescent="0.3">
      <c r="A3" s="69" t="s">
        <v>1</v>
      </c>
      <c r="B3" s="69"/>
      <c r="C3" s="69"/>
      <c r="D3" s="69"/>
      <c r="E3" s="70" t="s">
        <v>28</v>
      </c>
      <c r="F3" s="70"/>
      <c r="G3" s="70"/>
      <c r="H3" s="70"/>
      <c r="I3" s="70"/>
      <c r="J3" s="70"/>
      <c r="K3" s="70"/>
    </row>
    <row r="4" spans="1:93" ht="15.95" customHeight="1" thickBot="1" x14ac:dyDescent="0.3">
      <c r="A4" s="69" t="s">
        <v>24</v>
      </c>
      <c r="B4" s="69"/>
      <c r="C4" s="69"/>
      <c r="D4" s="69"/>
      <c r="E4" s="70">
        <v>1009</v>
      </c>
      <c r="F4" s="70"/>
      <c r="G4" s="70"/>
      <c r="H4" s="70"/>
      <c r="I4" s="70"/>
      <c r="J4" s="70"/>
      <c r="K4" s="70"/>
    </row>
    <row r="5" spans="1:93" ht="32.1" customHeight="1" thickBot="1" x14ac:dyDescent="0.3">
      <c r="A5" s="80" t="s">
        <v>34</v>
      </c>
      <c r="B5" s="80"/>
      <c r="C5" s="80"/>
      <c r="D5" s="80"/>
      <c r="E5" s="81" t="s">
        <v>155</v>
      </c>
      <c r="F5" s="81"/>
      <c r="G5" s="81"/>
      <c r="H5" s="81"/>
      <c r="I5" s="81"/>
      <c r="J5" s="81"/>
      <c r="K5" s="81"/>
    </row>
    <row r="6" spans="1:93" ht="15.95" customHeight="1" thickBot="1" x14ac:dyDescent="0.3">
      <c r="A6" s="69" t="s">
        <v>26</v>
      </c>
      <c r="B6" s="69"/>
      <c r="C6" s="69"/>
      <c r="D6" s="69"/>
      <c r="E6" s="70" t="s">
        <v>31</v>
      </c>
      <c r="F6" s="70"/>
      <c r="G6" s="70"/>
      <c r="H6" s="70"/>
      <c r="I6" s="70"/>
      <c r="J6" s="70"/>
      <c r="K6" s="70"/>
    </row>
    <row r="7" spans="1:93" ht="30.95" customHeight="1" thickBot="1" x14ac:dyDescent="0.3">
      <c r="A7" s="3" t="s">
        <v>2</v>
      </c>
      <c r="B7" s="26" t="s">
        <v>117</v>
      </c>
      <c r="C7" s="26" t="s">
        <v>118</v>
      </c>
      <c r="D7" s="26" t="s">
        <v>119</v>
      </c>
      <c r="E7" s="26" t="s">
        <v>120</v>
      </c>
      <c r="F7" s="26" t="s">
        <v>121</v>
      </c>
      <c r="G7" s="26" t="s">
        <v>122</v>
      </c>
      <c r="H7" s="26" t="s">
        <v>123</v>
      </c>
      <c r="I7" s="26" t="s">
        <v>124</v>
      </c>
      <c r="J7" s="26" t="s">
        <v>125</v>
      </c>
      <c r="K7" s="26" t="s">
        <v>126</v>
      </c>
      <c r="L7" s="26" t="s">
        <v>127</v>
      </c>
      <c r="M7" s="26" t="s">
        <v>128</v>
      </c>
      <c r="N7" s="26" t="s">
        <v>129</v>
      </c>
      <c r="O7" s="26" t="s">
        <v>130</v>
      </c>
      <c r="P7" s="26" t="s">
        <v>131</v>
      </c>
      <c r="Q7" s="26" t="s">
        <v>132</v>
      </c>
      <c r="R7" s="26" t="s">
        <v>133</v>
      </c>
      <c r="S7" s="26" t="s">
        <v>134</v>
      </c>
      <c r="T7" s="26" t="s">
        <v>135</v>
      </c>
      <c r="U7" s="26" t="s">
        <v>136</v>
      </c>
      <c r="V7" s="26" t="s">
        <v>137</v>
      </c>
      <c r="W7" s="26" t="s">
        <v>138</v>
      </c>
      <c r="X7" s="26" t="s">
        <v>52</v>
      </c>
      <c r="Y7" s="26" t="s">
        <v>53</v>
      </c>
      <c r="Z7" s="26" t="s">
        <v>54</v>
      </c>
      <c r="AA7" s="26" t="s">
        <v>55</v>
      </c>
      <c r="AB7" s="26" t="s">
        <v>56</v>
      </c>
      <c r="AC7" s="26" t="s">
        <v>57</v>
      </c>
      <c r="AD7" s="26" t="s">
        <v>58</v>
      </c>
      <c r="AE7" s="26" t="s">
        <v>59</v>
      </c>
      <c r="AF7" s="26" t="s">
        <v>60</v>
      </c>
      <c r="AG7" s="26" t="s">
        <v>61</v>
      </c>
      <c r="AH7" s="26" t="s">
        <v>62</v>
      </c>
      <c r="AI7" s="26" t="s">
        <v>63</v>
      </c>
      <c r="AJ7" s="26" t="s">
        <v>64</v>
      </c>
      <c r="AK7" s="26" t="s">
        <v>65</v>
      </c>
      <c r="AL7" s="26" t="s">
        <v>66</v>
      </c>
      <c r="AM7" s="26" t="s">
        <v>67</v>
      </c>
      <c r="AN7" s="26" t="s">
        <v>68</v>
      </c>
      <c r="AO7" s="26" t="s">
        <v>69</v>
      </c>
      <c r="AP7" s="26" t="s">
        <v>70</v>
      </c>
      <c r="AQ7" s="26" t="s">
        <v>71</v>
      </c>
      <c r="AR7" s="26" t="s">
        <v>72</v>
      </c>
      <c r="AS7" s="26" t="s">
        <v>73</v>
      </c>
      <c r="AT7" s="26" t="s">
        <v>74</v>
      </c>
      <c r="AU7" s="26" t="s">
        <v>75</v>
      </c>
      <c r="AV7" s="26" t="s">
        <v>76</v>
      </c>
      <c r="AW7" s="26" t="s">
        <v>77</v>
      </c>
      <c r="AX7" s="26" t="s">
        <v>78</v>
      </c>
      <c r="AY7" s="26" t="s">
        <v>79</v>
      </c>
      <c r="AZ7" s="26" t="s">
        <v>80</v>
      </c>
      <c r="BA7" s="26" t="s">
        <v>81</v>
      </c>
      <c r="BB7" s="26" t="s">
        <v>82</v>
      </c>
      <c r="BC7" s="26" t="s">
        <v>83</v>
      </c>
      <c r="BD7" s="26" t="s">
        <v>84</v>
      </c>
      <c r="BE7" s="26" t="s">
        <v>85</v>
      </c>
      <c r="BF7" s="26" t="s">
        <v>86</v>
      </c>
      <c r="BG7" s="26" t="s">
        <v>87</v>
      </c>
      <c r="BH7" s="26" t="s">
        <v>88</v>
      </c>
      <c r="BI7" s="26" t="s">
        <v>89</v>
      </c>
      <c r="BJ7" s="26" t="s">
        <v>90</v>
      </c>
      <c r="BK7" s="26" t="s">
        <v>91</v>
      </c>
      <c r="BL7" s="26" t="s">
        <v>92</v>
      </c>
      <c r="BM7" s="26" t="s">
        <v>93</v>
      </c>
      <c r="BN7" s="26" t="s">
        <v>94</v>
      </c>
      <c r="BO7" s="26" t="s">
        <v>95</v>
      </c>
      <c r="BP7" s="26" t="s">
        <v>48</v>
      </c>
      <c r="BQ7" s="26" t="s">
        <v>96</v>
      </c>
      <c r="BR7" s="26" t="s">
        <v>47</v>
      </c>
      <c r="BS7" s="26" t="s">
        <v>97</v>
      </c>
      <c r="BT7" s="26" t="s">
        <v>98</v>
      </c>
      <c r="BU7" s="26" t="s">
        <v>49</v>
      </c>
      <c r="BV7" s="26" t="s">
        <v>44</v>
      </c>
      <c r="BW7" s="26" t="s">
        <v>99</v>
      </c>
      <c r="BX7" s="26"/>
      <c r="BY7" s="26"/>
      <c r="BZ7" s="26"/>
      <c r="CA7" s="26"/>
      <c r="CB7" s="26"/>
      <c r="CC7" s="26"/>
      <c r="CD7" s="26"/>
      <c r="CE7" s="26"/>
      <c r="CF7" s="26"/>
      <c r="CG7" s="26"/>
      <c r="CH7" s="26"/>
      <c r="CI7" s="26"/>
      <c r="CJ7" s="26"/>
      <c r="CK7" s="21"/>
      <c r="CL7" s="20"/>
      <c r="CM7" s="20"/>
      <c r="CN7" s="20"/>
      <c r="CO7" s="20"/>
    </row>
    <row r="8" spans="1:93" ht="30.95" customHeight="1" thickBot="1" x14ac:dyDescent="0.3">
      <c r="A8" s="3" t="s">
        <v>15</v>
      </c>
      <c r="B8" s="12">
        <v>15</v>
      </c>
      <c r="C8" s="12">
        <f>Table2212[[#This Row],[Column6]]</f>
        <v>15</v>
      </c>
      <c r="D8" s="12">
        <f>Table2212[[#This Row],[Column6]]</f>
        <v>15</v>
      </c>
      <c r="E8" s="12">
        <f>Table2212[[#This Row],[Column9]]+5</f>
        <v>20</v>
      </c>
      <c r="F8" s="12">
        <f>Table2212[[#This Row],[Column10]]</f>
        <v>20</v>
      </c>
      <c r="G8" s="12">
        <f>Table2212[[#This Row],[Column10]]</f>
        <v>20</v>
      </c>
      <c r="H8" s="12">
        <f>Table2212[[#This Row],[Column10]]</f>
        <v>20</v>
      </c>
      <c r="I8" s="12">
        <f>Table2212[[#This Row],[Column10]]</f>
        <v>20</v>
      </c>
      <c r="J8" s="12">
        <f>Table2212[[#This Row],[Column10]]</f>
        <v>20</v>
      </c>
      <c r="K8" s="12">
        <f>Table2212[[#This Row],[Column10]]</f>
        <v>20</v>
      </c>
      <c r="L8" s="12">
        <f>Table2212[[#This Row],[Column10]]</f>
        <v>20</v>
      </c>
      <c r="M8" s="12">
        <f>Table2212[[#This Row],[Column10]]</f>
        <v>20</v>
      </c>
      <c r="N8" s="12">
        <f>Table2212[[#This Row],[Column10]]</f>
        <v>20</v>
      </c>
      <c r="O8" s="12">
        <f>Table2212[[#This Row],[Column10]]</f>
        <v>20</v>
      </c>
      <c r="P8" s="12">
        <f>Table2212[[#This Row],[Column10]]</f>
        <v>20</v>
      </c>
      <c r="Q8" s="12">
        <f>Table2212[[#This Row],[Column10]]</f>
        <v>20</v>
      </c>
      <c r="R8" s="12">
        <f>Table2212[[#This Row],[Column10]]</f>
        <v>20</v>
      </c>
      <c r="S8" s="12">
        <f>Table2212[[#This Row],[Column10]]</f>
        <v>20</v>
      </c>
      <c r="T8" s="12">
        <f>Table2212[[#This Row],[Column10]]</f>
        <v>20</v>
      </c>
      <c r="U8" s="12">
        <f>Table2212[[#This Row],[Column10]]</f>
        <v>20</v>
      </c>
      <c r="V8" s="12">
        <f>Table2212[[#This Row],[Column10]]</f>
        <v>20</v>
      </c>
      <c r="W8" s="12">
        <f>Table2212[[#This Row],[Column31]]+16</f>
        <v>36</v>
      </c>
      <c r="X8" s="20">
        <f>Table2212[[#This Row],[Column32]]+57</f>
        <v>93</v>
      </c>
      <c r="Y8" s="20">
        <f>Table2212[[#This Row],[Column33]]</f>
        <v>93</v>
      </c>
      <c r="Z8" s="20">
        <f>Table2212[[#This Row],[Column34]]+16</f>
        <v>109</v>
      </c>
      <c r="AA8" s="20">
        <f>Table2212[[#This Row],[Column35]]</f>
        <v>109</v>
      </c>
      <c r="AB8" s="20">
        <f>Table2212[[#This Row],[Column35]]</f>
        <v>109</v>
      </c>
      <c r="AC8" s="20">
        <f>Table2212[[#This Row],[Column35]]</f>
        <v>109</v>
      </c>
      <c r="AD8" s="20">
        <f>Table2212[[#This Row],[Column35]]</f>
        <v>109</v>
      </c>
      <c r="AE8" s="20">
        <f>Table2212[[#This Row],[Column35]]</f>
        <v>109</v>
      </c>
      <c r="AF8" s="20">
        <f>Table2212[[#This Row],[Column35]]</f>
        <v>109</v>
      </c>
      <c r="AG8" s="20">
        <f>Table2212[[#This Row],[Column35]]</f>
        <v>109</v>
      </c>
      <c r="AH8" s="20">
        <f>Table2212[[#This Row],[Column35]]</f>
        <v>109</v>
      </c>
      <c r="AI8" s="20">
        <f>Table2212[[#This Row],[Column35]]</f>
        <v>109</v>
      </c>
      <c r="AJ8" s="20">
        <f>Table2212[[#This Row],[Column44]]+19</f>
        <v>128</v>
      </c>
      <c r="AK8" s="20">
        <f>Table2212[[#This Row],[Column45]]</f>
        <v>128</v>
      </c>
      <c r="AL8" s="20">
        <f>Table2212[[#This Row],[Column46]]+59</f>
        <v>187</v>
      </c>
      <c r="AM8" s="20">
        <f>Table2212[[#This Row],[Column47]]+38</f>
        <v>225</v>
      </c>
      <c r="AN8" s="20">
        <f>Table2212[[#This Row],[Column48]]+21</f>
        <v>246</v>
      </c>
      <c r="AO8" s="20">
        <f>Table2212[[#This Row],[Column49]]</f>
        <v>246</v>
      </c>
      <c r="AP8" s="20">
        <f>Table2212[[#This Row],[Column49]]</f>
        <v>246</v>
      </c>
      <c r="AQ8" s="20">
        <f>Table2212[[#This Row],[Column49]]</f>
        <v>246</v>
      </c>
      <c r="AR8" s="20">
        <f>Table2212[[#This Row],[Column52]]+16</f>
        <v>262</v>
      </c>
      <c r="AS8" s="20">
        <f>Table2212[[#This Row],[Column53]]</f>
        <v>262</v>
      </c>
      <c r="AT8" s="20">
        <f>Table2212[[#This Row],[Column53]]</f>
        <v>262</v>
      </c>
      <c r="AU8" s="20">
        <f>Table2212[[#This Row],[Column55]]+12</f>
        <v>274</v>
      </c>
      <c r="AV8" s="20">
        <f>Table2212[[#This Row],[Column56]]+70</f>
        <v>344</v>
      </c>
      <c r="AW8" s="20">
        <f>Table2212[[#This Row],[Column57]]</f>
        <v>344</v>
      </c>
      <c r="AX8" s="20">
        <f>Table2212[[#This Row],[Column58]]+34</f>
        <v>378</v>
      </c>
      <c r="AY8" s="20">
        <f>Table2212[[#This Row],[Column59]]</f>
        <v>378</v>
      </c>
      <c r="AZ8" s="20">
        <f>Table2212[[#This Row],[Column59]]</f>
        <v>378</v>
      </c>
      <c r="BA8" s="20">
        <f>Table2212[[#This Row],[Column59]]</f>
        <v>378</v>
      </c>
      <c r="BB8" s="20">
        <f>Table2212[[#This Row],[Column59]]</f>
        <v>378</v>
      </c>
      <c r="BC8" s="20">
        <f>Table2212[[#This Row],[Column59]]</f>
        <v>378</v>
      </c>
      <c r="BD8" s="20">
        <f>Table2212[[#This Row],[Column59]]</f>
        <v>378</v>
      </c>
      <c r="BE8" s="20">
        <f>Table2212[[#This Row],[Column59]]</f>
        <v>378</v>
      </c>
      <c r="BF8" s="20">
        <f>Table2212[[#This Row],[Column67]]+95</f>
        <v>473</v>
      </c>
      <c r="BG8" s="20">
        <f>Table2212[[#This Row],[Column68]]</f>
        <v>473</v>
      </c>
      <c r="BH8" s="20">
        <f>Table2212[[#This Row],[Column68]]</f>
        <v>473</v>
      </c>
      <c r="BI8" s="20">
        <f>Table2212[[#This Row],[Column68]]</f>
        <v>473</v>
      </c>
      <c r="BJ8" s="20">
        <f>Table2212[[#This Row],[Column68]]</f>
        <v>473</v>
      </c>
      <c r="BK8" s="20">
        <f>Table2212[[#This Row],[Column68]]</f>
        <v>473</v>
      </c>
      <c r="BL8" s="20">
        <f>Table2212[[#This Row],[Column68]]</f>
        <v>473</v>
      </c>
      <c r="BM8" s="20">
        <f>Table2212[[#This Row],[Column74]]+23</f>
        <v>496</v>
      </c>
      <c r="BN8" s="20">
        <f>Table2212[[#This Row],[Column75]]</f>
        <v>496</v>
      </c>
      <c r="BO8" s="20">
        <f>Table2212[[#This Row],[Column75]]</f>
        <v>496</v>
      </c>
      <c r="BP8" s="20">
        <f>Table2212[[#This Row],[Column77]]+106</f>
        <v>602</v>
      </c>
      <c r="BQ8" s="20">
        <f>Table2212[[#This Row],[Column78]]+21</f>
        <v>623</v>
      </c>
      <c r="BR8" s="20">
        <f>Table2212[[#This Row],[Column79]]</f>
        <v>623</v>
      </c>
      <c r="BS8" s="20">
        <f>Table2212[[#This Row],[Column79]]</f>
        <v>623</v>
      </c>
      <c r="BT8" s="21">
        <f>Table2212[[#This Row],[Column81]]+41</f>
        <v>664</v>
      </c>
      <c r="BU8" s="20">
        <f>Table2212[[#This Row],[Column82]]+88</f>
        <v>752</v>
      </c>
      <c r="BV8" s="20">
        <f>Table2212[[#This Row],[Column83]]+146</f>
        <v>898</v>
      </c>
      <c r="BW8" s="20">
        <f>Table2212[[#This Row],[Column84]]+111</f>
        <v>1009</v>
      </c>
      <c r="BX8" s="21"/>
      <c r="BY8" s="20"/>
      <c r="BZ8" s="20"/>
      <c r="CA8" s="20"/>
      <c r="CB8" s="20"/>
      <c r="CC8" s="20"/>
      <c r="CD8" s="20"/>
      <c r="CE8" s="20"/>
      <c r="CF8" s="21"/>
      <c r="CG8" s="20"/>
      <c r="CH8" s="20"/>
      <c r="CI8" s="20"/>
      <c r="CJ8" s="20"/>
      <c r="CK8" s="21"/>
      <c r="CL8" s="20"/>
      <c r="CM8" s="20"/>
      <c r="CN8" s="20"/>
      <c r="CO8" s="20"/>
    </row>
    <row r="9" spans="1:93" ht="30.95" customHeight="1" thickBot="1" x14ac:dyDescent="0.3">
      <c r="A9" s="4" t="s">
        <v>3</v>
      </c>
      <c r="B9" s="26" t="s">
        <v>118</v>
      </c>
      <c r="C9" s="26" t="s">
        <v>119</v>
      </c>
      <c r="D9" s="26" t="s">
        <v>120</v>
      </c>
      <c r="E9" s="26" t="s">
        <v>121</v>
      </c>
      <c r="F9" s="26" t="s">
        <v>122</v>
      </c>
      <c r="G9" s="26" t="s">
        <v>123</v>
      </c>
      <c r="H9" s="26" t="s">
        <v>124</v>
      </c>
      <c r="I9" s="26" t="s">
        <v>125</v>
      </c>
      <c r="J9" s="26" t="s">
        <v>126</v>
      </c>
      <c r="K9" s="26" t="s">
        <v>127</v>
      </c>
      <c r="L9" s="26" t="s">
        <v>128</v>
      </c>
      <c r="M9" s="26" t="s">
        <v>129</v>
      </c>
      <c r="N9" s="26" t="s">
        <v>130</v>
      </c>
      <c r="O9" s="26" t="s">
        <v>131</v>
      </c>
      <c r="P9" s="26" t="s">
        <v>132</v>
      </c>
      <c r="Q9" s="26" t="s">
        <v>133</v>
      </c>
      <c r="R9" s="26" t="s">
        <v>134</v>
      </c>
      <c r="S9" s="26" t="s">
        <v>135</v>
      </c>
      <c r="T9" s="26" t="s">
        <v>136</v>
      </c>
      <c r="U9" s="26" t="s">
        <v>137</v>
      </c>
      <c r="V9" s="26" t="s">
        <v>138</v>
      </c>
      <c r="W9" s="26" t="s">
        <v>52</v>
      </c>
      <c r="X9" s="26" t="s">
        <v>53</v>
      </c>
      <c r="Y9" s="26" t="s">
        <v>54</v>
      </c>
      <c r="Z9" s="26" t="s">
        <v>55</v>
      </c>
      <c r="AA9" s="26" t="s">
        <v>56</v>
      </c>
      <c r="AB9" s="26" t="s">
        <v>57</v>
      </c>
      <c r="AC9" s="26" t="s">
        <v>58</v>
      </c>
      <c r="AD9" s="26" t="s">
        <v>59</v>
      </c>
      <c r="AE9" s="26" t="s">
        <v>60</v>
      </c>
      <c r="AF9" s="26" t="s">
        <v>61</v>
      </c>
      <c r="AG9" s="26" t="s">
        <v>62</v>
      </c>
      <c r="AH9" s="26" t="s">
        <v>63</v>
      </c>
      <c r="AI9" s="26" t="s">
        <v>64</v>
      </c>
      <c r="AJ9" s="26" t="s">
        <v>65</v>
      </c>
      <c r="AK9" s="26" t="s">
        <v>66</v>
      </c>
      <c r="AL9" s="26" t="s">
        <v>67</v>
      </c>
      <c r="AM9" s="26" t="s">
        <v>68</v>
      </c>
      <c r="AN9" s="26" t="s">
        <v>69</v>
      </c>
      <c r="AO9" s="26" t="s">
        <v>70</v>
      </c>
      <c r="AP9" s="26" t="s">
        <v>71</v>
      </c>
      <c r="AQ9" s="26" t="s">
        <v>72</v>
      </c>
      <c r="AR9" s="26" t="s">
        <v>73</v>
      </c>
      <c r="AS9" s="26" t="s">
        <v>74</v>
      </c>
      <c r="AT9" s="26" t="s">
        <v>75</v>
      </c>
      <c r="AU9" s="26" t="s">
        <v>76</v>
      </c>
      <c r="AV9" s="26" t="s">
        <v>77</v>
      </c>
      <c r="AW9" s="26" t="s">
        <v>78</v>
      </c>
      <c r="AX9" s="26" t="s">
        <v>79</v>
      </c>
      <c r="AY9" s="26" t="s">
        <v>80</v>
      </c>
      <c r="AZ9" s="26" t="s">
        <v>81</v>
      </c>
      <c r="BA9" s="26" t="s">
        <v>82</v>
      </c>
      <c r="BB9" s="26" t="s">
        <v>83</v>
      </c>
      <c r="BC9" s="26" t="s">
        <v>84</v>
      </c>
      <c r="BD9" s="26" t="s">
        <v>85</v>
      </c>
      <c r="BE9" s="26" t="s">
        <v>86</v>
      </c>
      <c r="BF9" s="26" t="s">
        <v>87</v>
      </c>
      <c r="BG9" s="26" t="s">
        <v>88</v>
      </c>
      <c r="BH9" s="26" t="s">
        <v>89</v>
      </c>
      <c r="BI9" s="26" t="s">
        <v>90</v>
      </c>
      <c r="BJ9" s="26" t="s">
        <v>91</v>
      </c>
      <c r="BK9" s="26" t="s">
        <v>92</v>
      </c>
      <c r="BL9" s="26" t="s">
        <v>93</v>
      </c>
      <c r="BM9" s="26" t="s">
        <v>94</v>
      </c>
      <c r="BN9" s="26" t="s">
        <v>95</v>
      </c>
      <c r="BO9" s="26" t="s">
        <v>48</v>
      </c>
      <c r="BP9" s="26" t="s">
        <v>96</v>
      </c>
      <c r="BQ9" s="26" t="s">
        <v>47</v>
      </c>
      <c r="BR9" s="26" t="s">
        <v>97</v>
      </c>
      <c r="BS9" s="26" t="s">
        <v>98</v>
      </c>
      <c r="BT9" s="26" t="s">
        <v>49</v>
      </c>
      <c r="BU9" s="26" t="s">
        <v>44</v>
      </c>
      <c r="BV9" s="26" t="s">
        <v>99</v>
      </c>
      <c r="BW9" s="26" t="s">
        <v>45</v>
      </c>
      <c r="BX9" s="26" t="s">
        <v>100</v>
      </c>
      <c r="BY9" s="26" t="s">
        <v>101</v>
      </c>
      <c r="BZ9" s="26" t="s">
        <v>102</v>
      </c>
      <c r="CA9" s="26" t="s">
        <v>103</v>
      </c>
      <c r="CB9" s="26" t="s">
        <v>104</v>
      </c>
      <c r="CC9" s="26" t="s">
        <v>105</v>
      </c>
      <c r="CD9" s="26" t="s">
        <v>50</v>
      </c>
      <c r="CE9" s="26" t="s">
        <v>106</v>
      </c>
      <c r="CF9" s="26" t="s">
        <v>107</v>
      </c>
      <c r="CG9" s="26" t="s">
        <v>108</v>
      </c>
      <c r="CH9" s="26" t="s">
        <v>109</v>
      </c>
      <c r="CI9" s="26" t="s">
        <v>110</v>
      </c>
      <c r="CJ9" s="26" t="s">
        <v>111</v>
      </c>
      <c r="CK9" s="26" t="s">
        <v>112</v>
      </c>
      <c r="CL9" s="26" t="s">
        <v>46</v>
      </c>
      <c r="CM9" s="26" t="s">
        <v>113</v>
      </c>
      <c r="CN9" s="26" t="s">
        <v>114</v>
      </c>
      <c r="CO9" s="26" t="s">
        <v>115</v>
      </c>
    </row>
    <row r="10" spans="1:93" ht="30.75" thickBot="1" x14ac:dyDescent="0.3">
      <c r="A10" s="1" t="s">
        <v>4</v>
      </c>
      <c r="B10" s="85" t="s">
        <v>5</v>
      </c>
      <c r="C10" s="86"/>
      <c r="D10" s="86"/>
      <c r="E10" s="86"/>
      <c r="F10" s="86"/>
      <c r="G10" s="86"/>
      <c r="H10" s="86"/>
      <c r="I10" s="86"/>
      <c r="J10" s="86"/>
      <c r="K10" s="87"/>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0"/>
      <c r="CJ10" s="30"/>
    </row>
    <row r="11" spans="1:93" ht="15.75" thickBot="1" x14ac:dyDescent="0.3">
      <c r="A11" s="5" t="s">
        <v>9</v>
      </c>
      <c r="B11" s="15">
        <v>15</v>
      </c>
      <c r="C11" s="15">
        <v>15</v>
      </c>
      <c r="D11" s="15">
        <v>15</v>
      </c>
      <c r="E11" s="15">
        <v>20</v>
      </c>
      <c r="F11" s="15">
        <v>20</v>
      </c>
      <c r="G11" s="15">
        <v>20</v>
      </c>
      <c r="H11" s="15">
        <v>20</v>
      </c>
      <c r="I11" s="15">
        <v>20</v>
      </c>
      <c r="J11" s="15">
        <v>20</v>
      </c>
      <c r="K11" s="15">
        <v>20</v>
      </c>
      <c r="L11" s="15">
        <v>20</v>
      </c>
      <c r="M11" s="15">
        <v>20</v>
      </c>
      <c r="N11" s="15">
        <v>20</v>
      </c>
      <c r="O11" s="15">
        <v>20</v>
      </c>
      <c r="P11" s="15">
        <v>20</v>
      </c>
      <c r="Q11" s="15">
        <v>20</v>
      </c>
      <c r="R11" s="15">
        <v>20</v>
      </c>
      <c r="S11" s="15">
        <v>20</v>
      </c>
      <c r="T11" s="15">
        <v>20</v>
      </c>
      <c r="U11" s="15">
        <v>20</v>
      </c>
      <c r="V11" s="15">
        <v>20</v>
      </c>
      <c r="W11" s="19">
        <v>36</v>
      </c>
      <c r="X11" s="19">
        <v>93</v>
      </c>
      <c r="Y11" s="19">
        <v>93</v>
      </c>
      <c r="Z11" s="19">
        <v>109</v>
      </c>
      <c r="AA11" s="19">
        <v>109</v>
      </c>
      <c r="AB11" s="19">
        <v>109</v>
      </c>
      <c r="AC11" s="19">
        <v>109</v>
      </c>
      <c r="AD11" s="19">
        <v>109</v>
      </c>
      <c r="AE11" s="19">
        <v>109</v>
      </c>
      <c r="AF11" s="19">
        <v>109</v>
      </c>
      <c r="AG11" s="19">
        <v>109</v>
      </c>
      <c r="AH11" s="19">
        <v>109</v>
      </c>
      <c r="AI11" s="19">
        <v>109</v>
      </c>
      <c r="AJ11" s="19">
        <v>128</v>
      </c>
      <c r="AK11" s="19">
        <v>128</v>
      </c>
      <c r="AL11" s="19">
        <v>187</v>
      </c>
      <c r="AM11" s="19">
        <v>225</v>
      </c>
      <c r="AN11" s="19">
        <v>246</v>
      </c>
      <c r="AO11" s="19">
        <v>246</v>
      </c>
      <c r="AP11" s="19">
        <v>246</v>
      </c>
      <c r="AQ11" s="19">
        <v>246</v>
      </c>
      <c r="AR11" s="19">
        <v>262</v>
      </c>
      <c r="AS11" s="19">
        <v>262</v>
      </c>
      <c r="AT11" s="19">
        <v>262</v>
      </c>
      <c r="AU11" s="19">
        <v>274</v>
      </c>
      <c r="AV11" s="19">
        <v>344</v>
      </c>
      <c r="AW11" s="19">
        <v>344</v>
      </c>
      <c r="AX11" s="19">
        <v>378</v>
      </c>
      <c r="AY11" s="19">
        <v>378</v>
      </c>
      <c r="AZ11" s="19">
        <v>378</v>
      </c>
      <c r="BA11" s="19">
        <v>378</v>
      </c>
      <c r="BB11" s="19">
        <v>378</v>
      </c>
      <c r="BC11" s="19">
        <v>378</v>
      </c>
      <c r="BD11" s="19">
        <v>378</v>
      </c>
      <c r="BE11" s="19">
        <v>378</v>
      </c>
      <c r="BF11" s="19">
        <v>473</v>
      </c>
      <c r="BG11" s="19">
        <v>473</v>
      </c>
      <c r="BH11" s="19">
        <v>473</v>
      </c>
      <c r="BI11" s="19">
        <v>473</v>
      </c>
      <c r="BJ11" s="19">
        <v>473</v>
      </c>
      <c r="BK11" s="19">
        <v>473</v>
      </c>
      <c r="BL11" s="19">
        <v>473</v>
      </c>
      <c r="BM11" s="19">
        <v>496</v>
      </c>
      <c r="BN11" s="19">
        <v>496</v>
      </c>
      <c r="BO11" s="19">
        <v>496</v>
      </c>
      <c r="BP11" s="19">
        <v>602</v>
      </c>
      <c r="BQ11" s="19">
        <v>623</v>
      </c>
      <c r="BR11" s="19">
        <v>623</v>
      </c>
      <c r="BS11" s="19">
        <v>623</v>
      </c>
      <c r="BT11" s="19">
        <v>664</v>
      </c>
      <c r="BU11" s="19">
        <v>752</v>
      </c>
      <c r="BV11" s="19">
        <v>898</v>
      </c>
      <c r="BW11" s="19">
        <v>1009</v>
      </c>
      <c r="BX11" s="19"/>
      <c r="BY11" s="19"/>
      <c r="BZ11" s="19"/>
      <c r="CA11" s="19"/>
      <c r="CB11" s="19"/>
      <c r="CC11" s="19"/>
      <c r="CD11" s="19"/>
      <c r="CE11" s="19"/>
      <c r="CF11" s="19"/>
      <c r="CG11" s="19"/>
      <c r="CH11" s="19"/>
      <c r="CI11" s="19"/>
      <c r="CJ11" s="19"/>
      <c r="CK11" s="19"/>
      <c r="CL11" s="19"/>
      <c r="CM11" s="19"/>
      <c r="CN11" s="19"/>
      <c r="CO11" s="19"/>
    </row>
    <row r="12" spans="1:93" ht="15.75" thickBot="1" x14ac:dyDescent="0.3">
      <c r="A12" s="5" t="s">
        <v>10</v>
      </c>
      <c r="B12" s="15"/>
      <c r="C12" s="15"/>
      <c r="D12" s="15">
        <v>15</v>
      </c>
      <c r="E12" s="15">
        <v>15</v>
      </c>
      <c r="F12" s="15">
        <v>15</v>
      </c>
      <c r="G12" s="15">
        <v>20</v>
      </c>
      <c r="H12" s="15">
        <v>20</v>
      </c>
      <c r="I12" s="15">
        <v>20</v>
      </c>
      <c r="J12" s="15">
        <v>20</v>
      </c>
      <c r="K12" s="15">
        <v>20</v>
      </c>
      <c r="L12" s="15">
        <v>20</v>
      </c>
      <c r="M12" s="15">
        <v>20</v>
      </c>
      <c r="N12" s="15">
        <v>20</v>
      </c>
      <c r="O12" s="15">
        <v>20</v>
      </c>
      <c r="P12" s="15">
        <v>20</v>
      </c>
      <c r="Q12" s="15">
        <v>20</v>
      </c>
      <c r="R12" s="15">
        <v>20</v>
      </c>
      <c r="S12" s="15">
        <v>20</v>
      </c>
      <c r="T12" s="15">
        <v>20</v>
      </c>
      <c r="U12" s="15">
        <v>20</v>
      </c>
      <c r="V12" s="15">
        <v>20</v>
      </c>
      <c r="W12" s="15">
        <v>20</v>
      </c>
      <c r="X12" s="15">
        <v>20</v>
      </c>
      <c r="Y12" s="19">
        <v>36</v>
      </c>
      <c r="Z12" s="19">
        <v>93</v>
      </c>
      <c r="AA12" s="19">
        <v>93</v>
      </c>
      <c r="AB12" s="19">
        <v>109</v>
      </c>
      <c r="AC12" s="19">
        <v>109</v>
      </c>
      <c r="AD12" s="19">
        <v>109</v>
      </c>
      <c r="AE12" s="19">
        <v>109</v>
      </c>
      <c r="AF12" s="19">
        <v>109</v>
      </c>
      <c r="AG12" s="19">
        <v>109</v>
      </c>
      <c r="AH12" s="19">
        <v>109</v>
      </c>
      <c r="AI12" s="19">
        <v>109</v>
      </c>
      <c r="AJ12" s="19">
        <v>109</v>
      </c>
      <c r="AK12" s="19">
        <v>109</v>
      </c>
      <c r="AL12" s="19">
        <v>128</v>
      </c>
      <c r="AM12" s="19">
        <v>128</v>
      </c>
      <c r="AN12" s="19">
        <v>187</v>
      </c>
      <c r="AO12" s="19">
        <v>225</v>
      </c>
      <c r="AP12" s="19">
        <v>246</v>
      </c>
      <c r="AQ12" s="19">
        <v>246</v>
      </c>
      <c r="AR12" s="19">
        <v>246</v>
      </c>
      <c r="AS12" s="19">
        <v>246</v>
      </c>
      <c r="AT12" s="19">
        <v>262</v>
      </c>
      <c r="AU12" s="19">
        <v>262</v>
      </c>
      <c r="AV12" s="19">
        <v>262</v>
      </c>
      <c r="AW12" s="19">
        <v>274</v>
      </c>
      <c r="AX12" s="19">
        <v>344</v>
      </c>
      <c r="AY12" s="19">
        <v>344</v>
      </c>
      <c r="AZ12" s="19">
        <v>378</v>
      </c>
      <c r="BA12" s="19">
        <v>378</v>
      </c>
      <c r="BB12" s="19">
        <v>378</v>
      </c>
      <c r="BC12" s="19">
        <v>378</v>
      </c>
      <c r="BD12" s="19">
        <v>378</v>
      </c>
      <c r="BE12" s="19">
        <v>378</v>
      </c>
      <c r="BF12" s="19">
        <v>378</v>
      </c>
      <c r="BG12" s="19">
        <v>378</v>
      </c>
      <c r="BH12" s="19">
        <v>473</v>
      </c>
      <c r="BI12" s="19">
        <v>473</v>
      </c>
      <c r="BJ12" s="19">
        <v>473</v>
      </c>
      <c r="BK12" s="19">
        <v>473</v>
      </c>
      <c r="BL12" s="19">
        <v>473</v>
      </c>
      <c r="BM12" s="19">
        <v>473</v>
      </c>
      <c r="BN12" s="19">
        <v>473</v>
      </c>
      <c r="BO12" s="19">
        <v>496</v>
      </c>
      <c r="BP12" s="19">
        <v>496</v>
      </c>
      <c r="BQ12" s="19">
        <v>496</v>
      </c>
      <c r="BR12" s="19">
        <v>602</v>
      </c>
      <c r="BS12" s="19">
        <v>623</v>
      </c>
      <c r="BT12" s="19">
        <v>623</v>
      </c>
      <c r="BU12" s="19">
        <v>623</v>
      </c>
      <c r="BV12" s="19">
        <v>664</v>
      </c>
      <c r="BW12" s="19">
        <v>752</v>
      </c>
      <c r="BX12" s="19">
        <v>898</v>
      </c>
      <c r="BY12" s="19">
        <v>1009</v>
      </c>
      <c r="BZ12" s="15"/>
      <c r="CA12" s="15"/>
      <c r="CB12" s="15"/>
      <c r="CC12" s="15"/>
      <c r="CD12" s="15"/>
      <c r="CE12" s="15"/>
      <c r="CF12" s="15"/>
      <c r="CG12" s="15"/>
      <c r="CH12" s="15"/>
      <c r="CI12" s="15"/>
      <c r="CJ12" s="15"/>
      <c r="CK12" s="15"/>
      <c r="CL12" s="15"/>
      <c r="CM12" s="15"/>
      <c r="CN12" s="15"/>
      <c r="CO12" s="15"/>
    </row>
    <row r="13" spans="1:93" ht="15.75" thickBot="1" x14ac:dyDescent="0.3">
      <c r="A13" s="5" t="s">
        <v>13</v>
      </c>
      <c r="B13" s="15"/>
      <c r="C13" s="15"/>
      <c r="D13" s="15"/>
      <c r="E13" s="15">
        <v>15</v>
      </c>
      <c r="F13" s="15">
        <v>15</v>
      </c>
      <c r="G13" s="15">
        <v>15</v>
      </c>
      <c r="H13" s="15">
        <v>20</v>
      </c>
      <c r="I13" s="15">
        <v>20</v>
      </c>
      <c r="J13" s="15">
        <v>20</v>
      </c>
      <c r="K13" s="15">
        <v>20</v>
      </c>
      <c r="L13" s="15">
        <v>20</v>
      </c>
      <c r="M13" s="15">
        <v>20</v>
      </c>
      <c r="N13" s="15">
        <v>20</v>
      </c>
      <c r="O13" s="15">
        <v>20</v>
      </c>
      <c r="P13" s="15">
        <v>20</v>
      </c>
      <c r="Q13" s="15">
        <v>20</v>
      </c>
      <c r="R13" s="15">
        <v>20</v>
      </c>
      <c r="S13" s="15">
        <v>20</v>
      </c>
      <c r="T13" s="15">
        <v>20</v>
      </c>
      <c r="U13" s="15">
        <v>20</v>
      </c>
      <c r="V13" s="15">
        <v>20</v>
      </c>
      <c r="W13" s="15">
        <v>20</v>
      </c>
      <c r="X13" s="15">
        <v>20</v>
      </c>
      <c r="Y13" s="15">
        <v>20</v>
      </c>
      <c r="Z13" s="19">
        <v>36</v>
      </c>
      <c r="AA13" s="19">
        <v>93</v>
      </c>
      <c r="AB13" s="19">
        <v>93</v>
      </c>
      <c r="AC13" s="19">
        <v>109</v>
      </c>
      <c r="AD13" s="19">
        <v>109</v>
      </c>
      <c r="AE13" s="19">
        <v>109</v>
      </c>
      <c r="AF13" s="19">
        <v>109</v>
      </c>
      <c r="AG13" s="19">
        <v>109</v>
      </c>
      <c r="AH13" s="19">
        <v>109</v>
      </c>
      <c r="AI13" s="19">
        <v>109</v>
      </c>
      <c r="AJ13" s="19">
        <v>109</v>
      </c>
      <c r="AK13" s="19">
        <v>109</v>
      </c>
      <c r="AL13" s="19">
        <v>109</v>
      </c>
      <c r="AM13" s="19">
        <v>128</v>
      </c>
      <c r="AN13" s="19">
        <v>128</v>
      </c>
      <c r="AO13" s="19">
        <v>187</v>
      </c>
      <c r="AP13" s="19">
        <v>225</v>
      </c>
      <c r="AQ13" s="19">
        <v>246</v>
      </c>
      <c r="AR13" s="19">
        <v>246</v>
      </c>
      <c r="AS13" s="19">
        <v>246</v>
      </c>
      <c r="AT13" s="19">
        <v>246</v>
      </c>
      <c r="AU13" s="19">
        <v>262</v>
      </c>
      <c r="AV13" s="19">
        <v>262</v>
      </c>
      <c r="AW13" s="19">
        <v>262</v>
      </c>
      <c r="AX13" s="19">
        <v>274</v>
      </c>
      <c r="AY13" s="19">
        <v>344</v>
      </c>
      <c r="AZ13" s="19">
        <v>344</v>
      </c>
      <c r="BA13" s="19">
        <v>378</v>
      </c>
      <c r="BB13" s="19">
        <v>378</v>
      </c>
      <c r="BC13" s="19">
        <v>378</v>
      </c>
      <c r="BD13" s="19">
        <v>378</v>
      </c>
      <c r="BE13" s="19">
        <v>378</v>
      </c>
      <c r="BF13" s="19">
        <v>378</v>
      </c>
      <c r="BG13" s="19">
        <v>378</v>
      </c>
      <c r="BH13" s="19">
        <v>378</v>
      </c>
      <c r="BI13" s="19">
        <v>473</v>
      </c>
      <c r="BJ13" s="19">
        <v>473</v>
      </c>
      <c r="BK13" s="19">
        <v>473</v>
      </c>
      <c r="BL13" s="19">
        <v>473</v>
      </c>
      <c r="BM13" s="19">
        <v>473</v>
      </c>
      <c r="BN13" s="19">
        <v>473</v>
      </c>
      <c r="BO13" s="19">
        <v>473</v>
      </c>
      <c r="BP13" s="19">
        <v>496</v>
      </c>
      <c r="BQ13" s="19">
        <v>496</v>
      </c>
      <c r="BR13" s="19">
        <v>496</v>
      </c>
      <c r="BS13" s="19">
        <v>602</v>
      </c>
      <c r="BT13" s="19">
        <v>623</v>
      </c>
      <c r="BU13" s="19">
        <v>623</v>
      </c>
      <c r="BV13" s="19">
        <v>623</v>
      </c>
      <c r="BW13" s="19">
        <v>664</v>
      </c>
      <c r="BX13" s="19">
        <v>752</v>
      </c>
      <c r="BY13" s="19">
        <v>898</v>
      </c>
      <c r="BZ13" s="15">
        <v>1009</v>
      </c>
      <c r="CA13" s="15"/>
      <c r="CB13" s="15"/>
      <c r="CC13" s="15"/>
      <c r="CD13" s="15"/>
      <c r="CE13" s="15"/>
      <c r="CF13" s="15"/>
      <c r="CG13" s="15"/>
      <c r="CH13" s="15"/>
      <c r="CI13" s="15"/>
      <c r="CJ13" s="15"/>
      <c r="CK13" s="15"/>
      <c r="CL13" s="15"/>
      <c r="CM13" s="15"/>
      <c r="CN13" s="15"/>
      <c r="CO13" s="15"/>
    </row>
    <row r="14" spans="1:93" ht="15" customHeight="1" thickBot="1" x14ac:dyDescent="0.3">
      <c r="A14" s="6" t="s">
        <v>16</v>
      </c>
      <c r="B14" s="15"/>
      <c r="C14" s="15"/>
      <c r="D14" s="15"/>
      <c r="E14" s="15">
        <v>15</v>
      </c>
      <c r="F14" s="15">
        <v>15</v>
      </c>
      <c r="G14" s="15">
        <v>15</v>
      </c>
      <c r="H14" s="15">
        <v>20</v>
      </c>
      <c r="I14" s="15">
        <v>20</v>
      </c>
      <c r="J14" s="15">
        <v>20</v>
      </c>
      <c r="K14" s="15">
        <v>20</v>
      </c>
      <c r="L14" s="15">
        <v>20</v>
      </c>
      <c r="M14" s="15">
        <v>20</v>
      </c>
      <c r="N14" s="15">
        <v>20</v>
      </c>
      <c r="O14" s="15">
        <v>20</v>
      </c>
      <c r="P14" s="15">
        <v>20</v>
      </c>
      <c r="Q14" s="15">
        <v>20</v>
      </c>
      <c r="R14" s="15">
        <v>20</v>
      </c>
      <c r="S14" s="15">
        <v>20</v>
      </c>
      <c r="T14" s="15">
        <v>20</v>
      </c>
      <c r="U14" s="15">
        <v>20</v>
      </c>
      <c r="V14" s="15">
        <v>20</v>
      </c>
      <c r="W14" s="15">
        <v>20</v>
      </c>
      <c r="X14" s="15">
        <v>20</v>
      </c>
      <c r="Y14" s="15">
        <v>20</v>
      </c>
      <c r="Z14" s="19">
        <v>36</v>
      </c>
      <c r="AA14" s="19">
        <v>93</v>
      </c>
      <c r="AB14" s="19">
        <v>93</v>
      </c>
      <c r="AC14" s="19">
        <v>109</v>
      </c>
      <c r="AD14" s="19">
        <v>109</v>
      </c>
      <c r="AE14" s="19">
        <v>109</v>
      </c>
      <c r="AF14" s="19">
        <v>109</v>
      </c>
      <c r="AG14" s="19">
        <v>109</v>
      </c>
      <c r="AH14" s="19">
        <v>109</v>
      </c>
      <c r="AI14" s="19">
        <v>109</v>
      </c>
      <c r="AJ14" s="19">
        <v>109</v>
      </c>
      <c r="AK14" s="19">
        <v>109</v>
      </c>
      <c r="AL14" s="19">
        <v>109</v>
      </c>
      <c r="AM14" s="19">
        <v>128</v>
      </c>
      <c r="AN14" s="19">
        <v>128</v>
      </c>
      <c r="AO14" s="19">
        <v>187</v>
      </c>
      <c r="AP14" s="19">
        <v>225</v>
      </c>
      <c r="AQ14" s="19">
        <v>246</v>
      </c>
      <c r="AR14" s="19">
        <v>246</v>
      </c>
      <c r="AS14" s="19">
        <v>246</v>
      </c>
      <c r="AT14" s="19">
        <v>246</v>
      </c>
      <c r="AU14" s="19">
        <v>262</v>
      </c>
      <c r="AV14" s="19">
        <v>262</v>
      </c>
      <c r="AW14" s="19">
        <v>262</v>
      </c>
      <c r="AX14" s="19">
        <v>274</v>
      </c>
      <c r="AY14" s="19">
        <v>344</v>
      </c>
      <c r="AZ14" s="19">
        <v>344</v>
      </c>
      <c r="BA14" s="19">
        <v>378</v>
      </c>
      <c r="BB14" s="19">
        <v>378</v>
      </c>
      <c r="BC14" s="19">
        <v>378</v>
      </c>
      <c r="BD14" s="19">
        <v>378</v>
      </c>
      <c r="BE14" s="19">
        <v>378</v>
      </c>
      <c r="BF14" s="19">
        <v>378</v>
      </c>
      <c r="BG14" s="19">
        <v>378</v>
      </c>
      <c r="BH14" s="19">
        <v>378</v>
      </c>
      <c r="BI14" s="19">
        <v>473</v>
      </c>
      <c r="BJ14" s="19">
        <v>473</v>
      </c>
      <c r="BK14" s="19">
        <v>473</v>
      </c>
      <c r="BL14" s="19">
        <v>473</v>
      </c>
      <c r="BM14" s="19">
        <v>473</v>
      </c>
      <c r="BN14" s="19">
        <v>473</v>
      </c>
      <c r="BO14" s="19">
        <v>473</v>
      </c>
      <c r="BP14" s="19">
        <v>496</v>
      </c>
      <c r="BQ14" s="19">
        <v>496</v>
      </c>
      <c r="BR14" s="19">
        <v>496</v>
      </c>
      <c r="BS14" s="19">
        <v>602</v>
      </c>
      <c r="BT14" s="19">
        <v>623</v>
      </c>
      <c r="BU14" s="19">
        <v>623</v>
      </c>
      <c r="BV14" s="19">
        <v>623</v>
      </c>
      <c r="BW14" s="19">
        <v>664</v>
      </c>
      <c r="BX14" s="19">
        <v>752</v>
      </c>
      <c r="BY14" s="19">
        <v>898</v>
      </c>
      <c r="BZ14" s="15">
        <v>1009</v>
      </c>
      <c r="CA14" s="15"/>
      <c r="CB14" s="15"/>
      <c r="CC14" s="15"/>
      <c r="CD14" s="15"/>
      <c r="CE14" s="15"/>
      <c r="CF14" s="15"/>
      <c r="CG14" s="15"/>
      <c r="CH14" s="15"/>
      <c r="CI14" s="15"/>
      <c r="CJ14" s="15"/>
      <c r="CK14" s="15"/>
      <c r="CL14" s="15"/>
      <c r="CM14" s="15"/>
      <c r="CN14" s="15"/>
      <c r="CO14" s="15"/>
    </row>
    <row r="15" spans="1:93" ht="15.75" thickBot="1" x14ac:dyDescent="0.3">
      <c r="A15" s="6" t="s">
        <v>39</v>
      </c>
      <c r="B15" s="15"/>
      <c r="C15" s="15"/>
      <c r="D15" s="15"/>
      <c r="E15" s="15"/>
      <c r="F15" s="15"/>
      <c r="G15" s="15"/>
      <c r="H15" s="15"/>
      <c r="I15" s="15"/>
      <c r="J15" s="15"/>
      <c r="K15" s="18"/>
      <c r="L15" s="17"/>
      <c r="M15" s="17"/>
      <c r="N15" s="17"/>
      <c r="O15" s="15">
        <v>15</v>
      </c>
      <c r="P15" s="15">
        <v>15</v>
      </c>
      <c r="Q15" s="15">
        <v>15</v>
      </c>
      <c r="R15" s="15">
        <v>20</v>
      </c>
      <c r="S15" s="15">
        <v>20</v>
      </c>
      <c r="T15" s="17">
        <v>20</v>
      </c>
      <c r="U15" s="17">
        <v>20</v>
      </c>
      <c r="V15" s="17">
        <v>20</v>
      </c>
      <c r="W15" s="17">
        <v>20</v>
      </c>
      <c r="X15" s="17">
        <v>20</v>
      </c>
      <c r="Y15" s="17">
        <v>20</v>
      </c>
      <c r="Z15" s="17">
        <v>20</v>
      </c>
      <c r="AA15" s="17">
        <v>20</v>
      </c>
      <c r="AB15" s="17">
        <v>20</v>
      </c>
      <c r="AC15" s="17">
        <v>20</v>
      </c>
      <c r="AD15" s="17">
        <v>20</v>
      </c>
      <c r="AE15" s="17">
        <v>20</v>
      </c>
      <c r="AF15" s="17">
        <v>20</v>
      </c>
      <c r="AG15" s="17">
        <v>20</v>
      </c>
      <c r="AH15" s="17">
        <v>20</v>
      </c>
      <c r="AI15" s="17">
        <v>20</v>
      </c>
      <c r="AJ15" s="17">
        <v>36</v>
      </c>
      <c r="AK15" s="17">
        <v>93</v>
      </c>
      <c r="AL15" s="17">
        <v>93</v>
      </c>
      <c r="AM15" s="17">
        <v>109</v>
      </c>
      <c r="AN15" s="17">
        <v>109</v>
      </c>
      <c r="AO15" s="17">
        <v>109</v>
      </c>
      <c r="AP15" s="17">
        <v>109</v>
      </c>
      <c r="AQ15" s="17">
        <v>109</v>
      </c>
      <c r="AR15" s="17">
        <v>109</v>
      </c>
      <c r="AS15" s="17">
        <v>109</v>
      </c>
      <c r="AT15" s="17">
        <v>109</v>
      </c>
      <c r="AU15" s="17">
        <v>109</v>
      </c>
      <c r="AV15" s="17">
        <v>109</v>
      </c>
      <c r="AW15" s="17">
        <v>128</v>
      </c>
      <c r="AX15" s="17">
        <v>128</v>
      </c>
      <c r="AY15" s="17">
        <v>187</v>
      </c>
      <c r="AZ15" s="17">
        <v>225</v>
      </c>
      <c r="BA15" s="17">
        <v>246</v>
      </c>
      <c r="BB15" s="17">
        <v>246</v>
      </c>
      <c r="BC15" s="17">
        <v>246</v>
      </c>
      <c r="BD15" s="17">
        <v>246</v>
      </c>
      <c r="BE15" s="17">
        <v>262</v>
      </c>
      <c r="BF15" s="17">
        <v>262</v>
      </c>
      <c r="BG15" s="17">
        <v>262</v>
      </c>
      <c r="BH15" s="17">
        <v>274</v>
      </c>
      <c r="BI15" s="17">
        <v>344</v>
      </c>
      <c r="BJ15" s="17">
        <v>344</v>
      </c>
      <c r="BK15" s="17">
        <v>378</v>
      </c>
      <c r="BL15" s="17">
        <v>378</v>
      </c>
      <c r="BM15" s="17">
        <v>378</v>
      </c>
      <c r="BN15" s="17">
        <v>378</v>
      </c>
      <c r="BO15" s="17">
        <v>378</v>
      </c>
      <c r="BP15" s="17">
        <v>378</v>
      </c>
      <c r="BQ15" s="17">
        <v>378</v>
      </c>
      <c r="BR15" s="17">
        <v>378</v>
      </c>
      <c r="BS15" s="17">
        <v>473</v>
      </c>
      <c r="BT15" s="17">
        <v>473</v>
      </c>
      <c r="BU15" s="17">
        <v>473</v>
      </c>
      <c r="BV15" s="17">
        <v>473</v>
      </c>
      <c r="BW15" s="17">
        <v>473</v>
      </c>
      <c r="BX15" s="17">
        <v>473</v>
      </c>
      <c r="BY15" s="17">
        <v>473</v>
      </c>
      <c r="BZ15" s="17">
        <v>496</v>
      </c>
      <c r="CA15" s="17">
        <v>496</v>
      </c>
      <c r="CB15" s="17">
        <v>496</v>
      </c>
      <c r="CC15" s="17">
        <v>602</v>
      </c>
      <c r="CD15" s="17">
        <v>623</v>
      </c>
      <c r="CE15" s="17">
        <v>623</v>
      </c>
      <c r="CF15" s="17">
        <v>623</v>
      </c>
      <c r="CG15" s="17">
        <v>664</v>
      </c>
      <c r="CH15" s="17">
        <v>752</v>
      </c>
      <c r="CI15" s="19">
        <v>898</v>
      </c>
      <c r="CJ15" s="19">
        <v>1009</v>
      </c>
      <c r="CK15" s="15"/>
      <c r="CL15" s="15"/>
      <c r="CM15" s="15"/>
      <c r="CN15" s="15"/>
      <c r="CO15" s="15"/>
    </row>
    <row r="16" spans="1:93" ht="15.75" thickBot="1" x14ac:dyDescent="0.3">
      <c r="A16" s="6" t="s">
        <v>146</v>
      </c>
      <c r="B16" s="17"/>
      <c r="C16" s="17"/>
      <c r="D16" s="17"/>
      <c r="E16" s="17"/>
      <c r="F16" s="17"/>
      <c r="G16" s="17"/>
      <c r="H16" s="17"/>
      <c r="I16" s="17"/>
      <c r="J16" s="17"/>
      <c r="K16" s="17"/>
      <c r="L16" s="17"/>
      <c r="M16" s="17"/>
      <c r="N16" s="17"/>
      <c r="O16" s="17"/>
      <c r="P16" s="17"/>
      <c r="Q16" s="17"/>
      <c r="R16" s="17"/>
      <c r="S16" s="17"/>
      <c r="T16" s="15">
        <v>15</v>
      </c>
      <c r="U16" s="15">
        <v>15</v>
      </c>
      <c r="V16" s="15">
        <v>15</v>
      </c>
      <c r="W16" s="15">
        <v>20</v>
      </c>
      <c r="X16" s="15">
        <v>20</v>
      </c>
      <c r="Y16" s="17">
        <v>20</v>
      </c>
      <c r="Z16" s="17">
        <v>20</v>
      </c>
      <c r="AA16" s="17">
        <v>20</v>
      </c>
      <c r="AB16" s="17">
        <v>20</v>
      </c>
      <c r="AC16" s="17">
        <v>20</v>
      </c>
      <c r="AD16" s="17">
        <v>20</v>
      </c>
      <c r="AE16" s="17">
        <v>20</v>
      </c>
      <c r="AF16" s="17">
        <v>20</v>
      </c>
      <c r="AG16" s="17">
        <v>20</v>
      </c>
      <c r="AH16" s="17">
        <v>20</v>
      </c>
      <c r="AI16" s="17">
        <v>20</v>
      </c>
      <c r="AJ16" s="17">
        <v>20</v>
      </c>
      <c r="AK16" s="17">
        <v>20</v>
      </c>
      <c r="AL16" s="17">
        <v>20</v>
      </c>
      <c r="AM16" s="17">
        <v>20</v>
      </c>
      <c r="AN16" s="17">
        <v>20</v>
      </c>
      <c r="AO16" s="17">
        <v>36</v>
      </c>
      <c r="AP16" s="17">
        <v>93</v>
      </c>
      <c r="AQ16" s="17">
        <v>93</v>
      </c>
      <c r="AR16" s="17">
        <v>109</v>
      </c>
      <c r="AS16" s="17">
        <v>109</v>
      </c>
      <c r="AT16" s="17">
        <v>109</v>
      </c>
      <c r="AU16" s="17">
        <v>109</v>
      </c>
      <c r="AV16" s="17">
        <v>109</v>
      </c>
      <c r="AW16" s="17">
        <v>109</v>
      </c>
      <c r="AX16" s="17">
        <v>109</v>
      </c>
      <c r="AY16" s="17">
        <v>109</v>
      </c>
      <c r="AZ16" s="17">
        <v>109</v>
      </c>
      <c r="BA16" s="17">
        <v>109</v>
      </c>
      <c r="BB16" s="17">
        <v>128</v>
      </c>
      <c r="BC16" s="17">
        <v>128</v>
      </c>
      <c r="BD16" s="17">
        <v>187</v>
      </c>
      <c r="BE16" s="17">
        <v>225</v>
      </c>
      <c r="BF16" s="17">
        <v>246</v>
      </c>
      <c r="BG16" s="17">
        <v>246</v>
      </c>
      <c r="BH16" s="17">
        <v>246</v>
      </c>
      <c r="BI16" s="17">
        <v>246</v>
      </c>
      <c r="BJ16" s="17">
        <v>262</v>
      </c>
      <c r="BK16" s="17">
        <v>262</v>
      </c>
      <c r="BL16" s="17">
        <v>262</v>
      </c>
      <c r="BM16" s="17">
        <v>274</v>
      </c>
      <c r="BN16" s="17">
        <v>344</v>
      </c>
      <c r="BO16" s="17">
        <v>344</v>
      </c>
      <c r="BP16" s="17">
        <v>378</v>
      </c>
      <c r="BQ16" s="17">
        <v>378</v>
      </c>
      <c r="BR16" s="17">
        <v>378</v>
      </c>
      <c r="BS16" s="17">
        <v>378</v>
      </c>
      <c r="BT16" s="17">
        <v>378</v>
      </c>
      <c r="BU16" s="17">
        <v>378</v>
      </c>
      <c r="BV16" s="17">
        <v>378</v>
      </c>
      <c r="BW16" s="17">
        <v>378</v>
      </c>
      <c r="BX16" s="17">
        <v>473</v>
      </c>
      <c r="BY16" s="17">
        <v>473</v>
      </c>
      <c r="BZ16" s="17">
        <v>473</v>
      </c>
      <c r="CA16" s="17">
        <v>473</v>
      </c>
      <c r="CB16" s="17">
        <v>473</v>
      </c>
      <c r="CC16" s="17">
        <v>473</v>
      </c>
      <c r="CD16" s="17">
        <v>473</v>
      </c>
      <c r="CE16" s="17">
        <v>496</v>
      </c>
      <c r="CF16" s="17">
        <v>496</v>
      </c>
      <c r="CG16" s="17">
        <v>496</v>
      </c>
      <c r="CH16" s="17">
        <v>602</v>
      </c>
      <c r="CI16" s="17">
        <v>623</v>
      </c>
      <c r="CJ16" s="17">
        <v>623</v>
      </c>
      <c r="CK16" s="17">
        <v>623</v>
      </c>
      <c r="CL16" s="17">
        <v>664</v>
      </c>
      <c r="CM16" s="17">
        <v>752</v>
      </c>
      <c r="CN16" s="17">
        <v>898</v>
      </c>
      <c r="CO16" s="17">
        <v>1009</v>
      </c>
    </row>
    <row r="17" spans="1:11" ht="15.75" thickBot="1" x14ac:dyDescent="0.3"/>
    <row r="18" spans="1:11" x14ac:dyDescent="0.25">
      <c r="A18" s="82" t="s">
        <v>20</v>
      </c>
      <c r="B18" s="83"/>
      <c r="C18" s="83"/>
      <c r="D18" s="83"/>
      <c r="E18" s="83"/>
      <c r="F18" s="83"/>
      <c r="G18" s="83"/>
      <c r="H18" s="83"/>
      <c r="I18" s="83"/>
      <c r="J18" s="83"/>
      <c r="K18" s="84"/>
    </row>
    <row r="19" spans="1:11" x14ac:dyDescent="0.25">
      <c r="A19" s="74" t="s">
        <v>21</v>
      </c>
      <c r="B19" s="75"/>
      <c r="C19" s="75"/>
      <c r="D19" s="75"/>
      <c r="E19" s="75"/>
      <c r="F19" s="75"/>
      <c r="G19" s="75"/>
      <c r="H19" s="75"/>
      <c r="I19" s="75"/>
      <c r="J19" s="75"/>
      <c r="K19" s="76"/>
    </row>
    <row r="20" spans="1:11" x14ac:dyDescent="0.25">
      <c r="A20" s="74" t="s">
        <v>22</v>
      </c>
      <c r="B20" s="75"/>
      <c r="C20" s="75"/>
      <c r="D20" s="75"/>
      <c r="E20" s="75"/>
      <c r="F20" s="75"/>
      <c r="G20" s="75"/>
      <c r="H20" s="75"/>
      <c r="I20" s="75"/>
      <c r="J20" s="75"/>
      <c r="K20" s="76"/>
    </row>
    <row r="21" spans="1:11" ht="15.75" thickBot="1" x14ac:dyDescent="0.3">
      <c r="A21" s="77" t="s">
        <v>23</v>
      </c>
      <c r="B21" s="78"/>
      <c r="C21" s="78"/>
      <c r="D21" s="78"/>
      <c r="E21" s="78"/>
      <c r="F21" s="78"/>
      <c r="G21" s="78"/>
      <c r="H21" s="78"/>
      <c r="I21" s="78"/>
      <c r="J21" s="78"/>
      <c r="K21" s="79"/>
    </row>
  </sheetData>
  <mergeCells count="16">
    <mergeCell ref="A4:D4"/>
    <mergeCell ref="E4:K4"/>
    <mergeCell ref="A1:K1"/>
    <mergeCell ref="A2:D2"/>
    <mergeCell ref="E2:K2"/>
    <mergeCell ref="A3:D3"/>
    <mergeCell ref="E3:K3"/>
    <mergeCell ref="B10:K10"/>
    <mergeCell ref="A19:K19"/>
    <mergeCell ref="A20:K20"/>
    <mergeCell ref="A21:K21"/>
    <mergeCell ref="A5:D5"/>
    <mergeCell ref="E5:K5"/>
    <mergeCell ref="A6:D6"/>
    <mergeCell ref="E6:K6"/>
    <mergeCell ref="A18:K18"/>
  </mergeCells>
  <conditionalFormatting sqref="B9">
    <cfRule type="containsText" dxfId="29" priority="7" operator="containsText" text="10/12/xxxx">
      <formula>NOT(ISERROR(SEARCH("10/12/xxxx",B9)))</formula>
    </cfRule>
  </conditionalFormatting>
  <conditionalFormatting sqref="B7:X7">
    <cfRule type="containsText" dxfId="28" priority="8" operator="containsText" text="10/12/xxxx">
      <formula>NOT(ISERROR(SEARCH("10/12/xxxx",B7)))</formula>
    </cfRule>
  </conditionalFormatting>
  <conditionalFormatting sqref="C9:W9">
    <cfRule type="containsText" dxfId="27" priority="5" operator="containsText" text="10/12/xxxx">
      <formula>NOT(ISERROR(SEARCH("10/12/xxxx",C9)))</formula>
    </cfRule>
  </conditionalFormatting>
  <conditionalFormatting sqref="X9:BU9">
    <cfRule type="containsText" dxfId="26" priority="4" operator="containsText" text="10/12/xxxx">
      <formula>NOT(ISERROR(SEARCH("10/12/xxxx",X9)))</formula>
    </cfRule>
  </conditionalFormatting>
  <conditionalFormatting sqref="Y7:BV7">
    <cfRule type="containsText" dxfId="25" priority="6" operator="containsText" text="10/12/xxxx">
      <formula>NOT(ISERROR(SEARCH("10/12/xxxx",Y7)))</formula>
    </cfRule>
  </conditionalFormatting>
  <conditionalFormatting sqref="BV9:CJ9">
    <cfRule type="containsText" dxfId="24" priority="3" operator="containsText" text="10/12/xxxx">
      <formula>NOT(ISERROR(SEARCH("10/12/xxxx",BV9)))</formula>
    </cfRule>
  </conditionalFormatting>
  <conditionalFormatting sqref="BW7:CJ7">
    <cfRule type="containsText" dxfId="23" priority="2" operator="containsText" text="10/12/xxxx">
      <formula>NOT(ISERROR(SEARCH("10/12/xxxx",BW7)))</formula>
    </cfRule>
  </conditionalFormatting>
  <conditionalFormatting sqref="CK9:CO9">
    <cfRule type="containsText" dxfId="22" priority="1" operator="containsText" text="10/12/xxxx">
      <formula>NOT(ISERROR(SEARCH("10/12/xxxx",CK9)))</formula>
    </cfRule>
  </conditionalFormatting>
  <dataValidations disablePrompts="1" count="5">
    <dataValidation allowBlank="1" showInputMessage="1" showErrorMessage="1" promptTitle="Insert Date" prompt="Please insert the date the area is available for rehabilitation" sqref="B7:CR7 B9:CZ9" xr:uid="{1A2791A8-98CB-4746-A38E-FE0893AC01D7}"/>
    <dataValidation allowBlank="1" showInputMessage="1" showErrorMessage="1" promptTitle="Insert Area (ha)" prompt="Please insert the cumulative area available in hectares (ha)" sqref="B8:W8" xr:uid="{C86903C6-07E5-4A6C-872C-A36F653B08B5}"/>
    <dataValidation allowBlank="1" showInputMessage="1" showErrorMessage="1" promptTitle="Insert Area (ha)" prompt="Please insert the cumulative area achieved in hectares (ha) as required" sqref="B15:CJ15 B11:C15 D11:CE12 B16:S16 D13:BY15 BY13:BZ14 U16:CO16" xr:uid="{266795B8-B5C9-4C86-A60B-FCE4A833BEDF}"/>
    <dataValidation allowBlank="1" showInputMessage="1" showErrorMessage="1" prompt="Please input the correct Rehabilitation Area number (RA#)" sqref="E2:K2" xr:uid="{ECC9EB8C-5082-48F1-AF1C-DF6F219A4BCE}"/>
    <dataValidation allowBlank="1" showInputMessage="1" showErrorMessage="1" promptTitle="Rehabilitation Milestone" prompt="Insert the Rehabilitation Milestone number here (RM#)" sqref="A11:A15" xr:uid="{EC3106EA-FC2D-4701-9D76-4E314A8D1F1C}"/>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BAF5D-CA13-44E3-883D-64AD3A6826E9}">
  <sheetPr codeName="Sheet6"/>
  <dimension ref="A1:Y22"/>
  <sheetViews>
    <sheetView workbookViewId="0">
      <selection activeCell="AB12" sqref="AB12"/>
    </sheetView>
  </sheetViews>
  <sheetFormatPr defaultColWidth="12.140625" defaultRowHeight="15" x14ac:dyDescent="0.25"/>
  <cols>
    <col min="1" max="1" width="15.7109375" style="2" customWidth="1"/>
    <col min="2" max="35" width="13.85546875" customWidth="1"/>
  </cols>
  <sheetData>
    <row r="1" spans="1:25" ht="23.25" customHeight="1" thickBot="1" x14ac:dyDescent="0.35">
      <c r="A1" s="71" t="s">
        <v>25</v>
      </c>
      <c r="B1" s="72"/>
      <c r="C1" s="72"/>
      <c r="D1" s="72"/>
      <c r="E1" s="72"/>
      <c r="F1" s="72"/>
      <c r="G1" s="72"/>
      <c r="H1" s="72"/>
      <c r="I1" s="72"/>
      <c r="J1" s="72"/>
      <c r="K1" s="73"/>
    </row>
    <row r="2" spans="1:25" ht="15.95" customHeight="1" thickBot="1" x14ac:dyDescent="0.3">
      <c r="A2" s="69" t="s">
        <v>0</v>
      </c>
      <c r="B2" s="69"/>
      <c r="C2" s="69"/>
      <c r="D2" s="69"/>
      <c r="E2" s="70" t="s">
        <v>29</v>
      </c>
      <c r="F2" s="70"/>
      <c r="G2" s="70"/>
      <c r="H2" s="70"/>
      <c r="I2" s="70"/>
      <c r="J2" s="70"/>
      <c r="K2" s="70"/>
    </row>
    <row r="3" spans="1:25" ht="15.95" customHeight="1" thickBot="1" x14ac:dyDescent="0.3">
      <c r="A3" s="69" t="s">
        <v>1</v>
      </c>
      <c r="B3" s="69"/>
      <c r="C3" s="69"/>
      <c r="D3" s="69"/>
      <c r="E3" s="70" t="s">
        <v>153</v>
      </c>
      <c r="F3" s="70"/>
      <c r="G3" s="70"/>
      <c r="H3" s="70"/>
      <c r="I3" s="70"/>
      <c r="J3" s="70"/>
      <c r="K3" s="70"/>
    </row>
    <row r="4" spans="1:25" ht="15.95" customHeight="1" thickBot="1" x14ac:dyDescent="0.3">
      <c r="A4" s="69" t="s">
        <v>24</v>
      </c>
      <c r="B4" s="69"/>
      <c r="C4" s="69"/>
      <c r="D4" s="69"/>
      <c r="E4" s="70">
        <v>101</v>
      </c>
      <c r="F4" s="70"/>
      <c r="G4" s="70"/>
      <c r="H4" s="70"/>
      <c r="I4" s="70"/>
      <c r="J4" s="70"/>
      <c r="K4" s="70"/>
    </row>
    <row r="5" spans="1:25" ht="32.1" customHeight="1" thickBot="1" x14ac:dyDescent="0.3">
      <c r="A5" s="80" t="s">
        <v>33</v>
      </c>
      <c r="B5" s="80"/>
      <c r="C5" s="80"/>
      <c r="D5" s="80"/>
      <c r="E5" s="81" t="s">
        <v>157</v>
      </c>
      <c r="F5" s="81"/>
      <c r="G5" s="81"/>
      <c r="H5" s="81"/>
      <c r="I5" s="81"/>
      <c r="J5" s="81"/>
      <c r="K5" s="81"/>
    </row>
    <row r="6" spans="1:25" ht="15.95" customHeight="1" thickBot="1" x14ac:dyDescent="0.3">
      <c r="A6" s="69" t="s">
        <v>26</v>
      </c>
      <c r="B6" s="69"/>
      <c r="C6" s="69"/>
      <c r="D6" s="69"/>
      <c r="E6" s="70" t="s">
        <v>32</v>
      </c>
      <c r="F6" s="70"/>
      <c r="G6" s="70"/>
      <c r="H6" s="70"/>
      <c r="I6" s="70"/>
      <c r="J6" s="70"/>
      <c r="K6" s="70"/>
    </row>
    <row r="7" spans="1:25" ht="30.95" customHeight="1" thickBot="1" x14ac:dyDescent="0.3">
      <c r="A7" s="3" t="s">
        <v>2</v>
      </c>
      <c r="B7" s="26" t="s">
        <v>48</v>
      </c>
      <c r="C7" s="26" t="s">
        <v>96</v>
      </c>
      <c r="D7" s="26" t="s">
        <v>47</v>
      </c>
      <c r="E7" s="26" t="s">
        <v>97</v>
      </c>
      <c r="F7" s="26" t="s">
        <v>98</v>
      </c>
      <c r="G7" s="26" t="s">
        <v>49</v>
      </c>
      <c r="H7" s="26" t="s">
        <v>44</v>
      </c>
      <c r="I7" s="26" t="s">
        <v>99</v>
      </c>
      <c r="J7" s="26"/>
      <c r="K7" s="26"/>
      <c r="L7" s="21"/>
      <c r="M7" s="20"/>
      <c r="N7" s="20"/>
      <c r="O7" s="20"/>
      <c r="P7" s="20"/>
      <c r="Q7" s="20"/>
      <c r="R7" s="20"/>
      <c r="S7" s="20"/>
      <c r="T7" s="21"/>
      <c r="U7" s="20"/>
      <c r="V7" s="20"/>
      <c r="W7" s="20"/>
      <c r="X7" s="20"/>
      <c r="Y7" s="20"/>
    </row>
    <row r="8" spans="1:25" ht="30.95" customHeight="1" thickBot="1" x14ac:dyDescent="0.3">
      <c r="A8" s="3" t="s">
        <v>15</v>
      </c>
      <c r="B8" s="12">
        <v>7</v>
      </c>
      <c r="C8" s="12">
        <f>Table2268[[#This Row],[Column2]]</f>
        <v>7</v>
      </c>
      <c r="D8" s="12">
        <f>Table2268[[#This Row],[Column2]]</f>
        <v>7</v>
      </c>
      <c r="E8" s="12">
        <f>Table2268[[#This Row],[Column2]]</f>
        <v>7</v>
      </c>
      <c r="F8" s="12">
        <f>Table2268[[#This Row],[Column2]]</f>
        <v>7</v>
      </c>
      <c r="G8" s="12">
        <f>Table2268[[#This Row],[Column6]]+32</f>
        <v>39</v>
      </c>
      <c r="H8" s="12">
        <f>Table2268[[#This Row],[Column7]]+32</f>
        <v>71</v>
      </c>
      <c r="I8" s="12">
        <f>Table2268[[#This Row],[Column8]]+30</f>
        <v>101</v>
      </c>
      <c r="J8" s="12"/>
      <c r="K8" s="13"/>
      <c r="L8" s="21"/>
      <c r="M8" s="20"/>
      <c r="N8" s="20"/>
      <c r="O8" s="20"/>
      <c r="P8" s="20"/>
      <c r="Q8" s="20"/>
      <c r="R8" s="20"/>
      <c r="S8" s="20"/>
      <c r="T8" s="21"/>
      <c r="U8" s="20"/>
      <c r="V8" s="20"/>
      <c r="W8" s="20"/>
      <c r="X8" s="20"/>
      <c r="Y8" s="20"/>
    </row>
    <row r="9" spans="1:25" ht="30.95" customHeight="1" thickBot="1" x14ac:dyDescent="0.3">
      <c r="A9" s="4" t="s">
        <v>3</v>
      </c>
      <c r="B9" s="26" t="s">
        <v>47</v>
      </c>
      <c r="C9" s="26" t="s">
        <v>97</v>
      </c>
      <c r="D9" s="26" t="s">
        <v>98</v>
      </c>
      <c r="E9" s="26" t="s">
        <v>49</v>
      </c>
      <c r="F9" s="26" t="s">
        <v>44</v>
      </c>
      <c r="G9" s="26" t="s">
        <v>99</v>
      </c>
      <c r="H9" s="26" t="s">
        <v>45</v>
      </c>
      <c r="I9" s="26" t="s">
        <v>100</v>
      </c>
      <c r="J9" s="26" t="s">
        <v>101</v>
      </c>
      <c r="K9" s="26" t="s">
        <v>102</v>
      </c>
      <c r="L9" s="26" t="s">
        <v>103</v>
      </c>
      <c r="M9" s="26" t="s">
        <v>104</v>
      </c>
      <c r="N9" s="26" t="s">
        <v>105</v>
      </c>
      <c r="O9" s="26" t="s">
        <v>50</v>
      </c>
      <c r="P9" s="26" t="s">
        <v>106</v>
      </c>
      <c r="Q9" s="26" t="s">
        <v>107</v>
      </c>
      <c r="R9" s="26" t="s">
        <v>108</v>
      </c>
      <c r="S9" s="26" t="s">
        <v>109</v>
      </c>
      <c r="T9" s="26" t="s">
        <v>110</v>
      </c>
      <c r="U9" s="26" t="s">
        <v>111</v>
      </c>
      <c r="V9" s="26" t="s">
        <v>112</v>
      </c>
      <c r="W9" s="26" t="s">
        <v>46</v>
      </c>
      <c r="X9" s="26" t="s">
        <v>113</v>
      </c>
      <c r="Y9" s="26" t="s">
        <v>114</v>
      </c>
    </row>
    <row r="10" spans="1:25" ht="30.75" thickBot="1" x14ac:dyDescent="0.3">
      <c r="A10" s="1" t="s">
        <v>4</v>
      </c>
      <c r="B10" s="85" t="s">
        <v>5</v>
      </c>
      <c r="C10" s="86"/>
      <c r="D10" s="86"/>
      <c r="E10" s="86"/>
      <c r="F10" s="86"/>
      <c r="G10" s="86"/>
      <c r="H10" s="86"/>
      <c r="I10" s="86"/>
      <c r="J10" s="86"/>
      <c r="K10" s="87"/>
    </row>
    <row r="11" spans="1:25" ht="15.75" thickBot="1" x14ac:dyDescent="0.3">
      <c r="A11" s="5" t="s">
        <v>10</v>
      </c>
      <c r="B11" s="19">
        <v>7</v>
      </c>
      <c r="C11" s="19">
        <v>7</v>
      </c>
      <c r="D11" s="19">
        <v>7</v>
      </c>
      <c r="E11" s="19">
        <v>7</v>
      </c>
      <c r="F11" s="19">
        <v>7</v>
      </c>
      <c r="G11" s="19">
        <v>39</v>
      </c>
      <c r="H11" s="19">
        <v>71</v>
      </c>
      <c r="I11" s="19">
        <v>101</v>
      </c>
      <c r="J11" s="29"/>
      <c r="K11" s="16"/>
      <c r="L11" s="19"/>
      <c r="M11" s="19"/>
      <c r="N11" s="19"/>
      <c r="O11" s="19"/>
      <c r="P11" s="19"/>
      <c r="Q11" s="19"/>
      <c r="R11" s="19"/>
      <c r="S11" s="19"/>
      <c r="T11" s="34"/>
      <c r="U11" s="34"/>
      <c r="V11" s="34"/>
      <c r="W11" s="34"/>
      <c r="X11" s="34"/>
      <c r="Y11" s="34"/>
    </row>
    <row r="12" spans="1:25" ht="15.75" thickBot="1" x14ac:dyDescent="0.3">
      <c r="A12" s="5" t="s">
        <v>12</v>
      </c>
      <c r="B12" s="15"/>
      <c r="C12" s="19">
        <v>7</v>
      </c>
      <c r="D12" s="19">
        <v>7</v>
      </c>
      <c r="E12" s="19">
        <v>7</v>
      </c>
      <c r="F12" s="19">
        <v>7</v>
      </c>
      <c r="G12" s="19">
        <v>7</v>
      </c>
      <c r="H12" s="19">
        <v>39</v>
      </c>
      <c r="I12" s="19">
        <v>71</v>
      </c>
      <c r="J12" s="19">
        <v>101</v>
      </c>
      <c r="K12" s="15"/>
      <c r="L12" s="15"/>
      <c r="M12" s="15"/>
      <c r="N12" s="15"/>
      <c r="O12" s="15"/>
      <c r="P12" s="15"/>
      <c r="Q12" s="15"/>
      <c r="R12" s="15"/>
      <c r="S12" s="15"/>
      <c r="T12" s="32"/>
      <c r="U12" s="32"/>
      <c r="V12" s="32"/>
      <c r="W12" s="32"/>
      <c r="X12" s="32"/>
      <c r="Y12" s="32"/>
    </row>
    <row r="13" spans="1:25" ht="15.75" thickBot="1" x14ac:dyDescent="0.3">
      <c r="A13" s="5" t="s">
        <v>13</v>
      </c>
      <c r="B13" s="15"/>
      <c r="C13" s="15"/>
      <c r="D13" s="19">
        <v>7</v>
      </c>
      <c r="E13" s="19">
        <v>7</v>
      </c>
      <c r="F13" s="19">
        <v>7</v>
      </c>
      <c r="G13" s="19">
        <v>7</v>
      </c>
      <c r="H13" s="19">
        <v>7</v>
      </c>
      <c r="I13" s="19">
        <v>39</v>
      </c>
      <c r="J13" s="19">
        <v>71</v>
      </c>
      <c r="K13" s="19">
        <v>101</v>
      </c>
      <c r="L13" s="15"/>
      <c r="M13" s="15"/>
      <c r="N13" s="15"/>
      <c r="O13" s="15"/>
      <c r="P13" s="15"/>
      <c r="Q13" s="15"/>
      <c r="R13" s="15"/>
      <c r="S13" s="15"/>
      <c r="T13" s="32"/>
      <c r="U13" s="32"/>
      <c r="V13" s="32"/>
      <c r="W13" s="32"/>
      <c r="X13" s="32"/>
      <c r="Y13" s="32"/>
    </row>
    <row r="14" spans="1:25" ht="15.75" thickBot="1" x14ac:dyDescent="0.3">
      <c r="A14" s="5" t="s">
        <v>16</v>
      </c>
      <c r="B14" s="15"/>
      <c r="C14" s="15"/>
      <c r="D14" s="19">
        <v>7</v>
      </c>
      <c r="E14" s="19">
        <v>7</v>
      </c>
      <c r="F14" s="19">
        <v>7</v>
      </c>
      <c r="G14" s="19">
        <v>7</v>
      </c>
      <c r="H14" s="19">
        <v>7</v>
      </c>
      <c r="I14" s="19">
        <v>39</v>
      </c>
      <c r="J14" s="19">
        <v>71</v>
      </c>
      <c r="K14" s="19">
        <v>101</v>
      </c>
      <c r="L14" s="15"/>
      <c r="M14" s="15"/>
      <c r="N14" s="15"/>
      <c r="O14" s="15"/>
      <c r="P14" s="15"/>
      <c r="Q14" s="15"/>
      <c r="R14" s="15"/>
      <c r="S14" s="15"/>
      <c r="T14" s="32"/>
      <c r="U14" s="32"/>
      <c r="V14" s="32"/>
      <c r="W14" s="32"/>
      <c r="X14" s="32"/>
      <c r="Y14" s="32"/>
    </row>
    <row r="15" spans="1:25" ht="15.75" thickBot="1" x14ac:dyDescent="0.3">
      <c r="A15" s="6" t="s">
        <v>39</v>
      </c>
      <c r="B15" s="15"/>
      <c r="C15" s="15"/>
      <c r="D15" s="15"/>
      <c r="E15" s="15"/>
      <c r="F15" s="15"/>
      <c r="G15" s="15"/>
      <c r="H15" s="15"/>
      <c r="I15" s="15"/>
      <c r="J15" s="15"/>
      <c r="K15" s="15"/>
      <c r="L15" s="15"/>
      <c r="M15" s="19">
        <v>7</v>
      </c>
      <c r="N15" s="19">
        <v>7</v>
      </c>
      <c r="O15" s="19">
        <v>7</v>
      </c>
      <c r="P15" s="19">
        <v>7</v>
      </c>
      <c r="Q15" s="19">
        <v>7</v>
      </c>
      <c r="R15" s="17">
        <v>39</v>
      </c>
      <c r="S15" s="19">
        <v>71</v>
      </c>
      <c r="T15" s="19">
        <v>101</v>
      </c>
      <c r="U15" s="32"/>
      <c r="V15" s="32"/>
      <c r="W15" s="32"/>
      <c r="X15" s="32"/>
      <c r="Y15" s="32"/>
    </row>
    <row r="16" spans="1:25" ht="15.75" thickBot="1" x14ac:dyDescent="0.3">
      <c r="A16" s="6" t="s">
        <v>146</v>
      </c>
      <c r="B16" s="15"/>
      <c r="C16" s="15"/>
      <c r="D16" s="15"/>
      <c r="E16" s="15"/>
      <c r="F16" s="15"/>
      <c r="G16" s="15"/>
      <c r="H16" s="15"/>
      <c r="I16" s="15"/>
      <c r="J16" s="15"/>
      <c r="K16" s="15"/>
      <c r="L16" s="15"/>
      <c r="M16" s="15"/>
      <c r="N16" s="15"/>
      <c r="O16" s="15"/>
      <c r="P16" s="15"/>
      <c r="Q16" s="15"/>
      <c r="R16" s="19">
        <v>7</v>
      </c>
      <c r="S16" s="19">
        <v>7</v>
      </c>
      <c r="T16" s="19">
        <v>7</v>
      </c>
      <c r="U16" s="19">
        <v>7</v>
      </c>
      <c r="V16" s="19">
        <v>7</v>
      </c>
      <c r="W16" s="17">
        <v>39</v>
      </c>
      <c r="X16" s="19">
        <v>71</v>
      </c>
      <c r="Y16" s="19">
        <v>101</v>
      </c>
    </row>
    <row r="17" spans="1:11" x14ac:dyDescent="0.25">
      <c r="A17"/>
    </row>
    <row r="18" spans="1:11" ht="15.75" thickBot="1" x14ac:dyDescent="0.3"/>
    <row r="19" spans="1:11" x14ac:dyDescent="0.25">
      <c r="A19" s="82" t="s">
        <v>20</v>
      </c>
      <c r="B19" s="83"/>
      <c r="C19" s="83"/>
      <c r="D19" s="83"/>
      <c r="E19" s="83"/>
      <c r="F19" s="83"/>
      <c r="G19" s="83"/>
      <c r="H19" s="83"/>
      <c r="I19" s="83"/>
      <c r="J19" s="83"/>
      <c r="K19" s="84"/>
    </row>
    <row r="20" spans="1:11" x14ac:dyDescent="0.25">
      <c r="A20" s="74" t="s">
        <v>21</v>
      </c>
      <c r="B20" s="75"/>
      <c r="C20" s="75"/>
      <c r="D20" s="75"/>
      <c r="E20" s="75"/>
      <c r="F20" s="75"/>
      <c r="G20" s="75"/>
      <c r="H20" s="75"/>
      <c r="I20" s="75"/>
      <c r="J20" s="75"/>
      <c r="K20" s="76"/>
    </row>
    <row r="21" spans="1:11" x14ac:dyDescent="0.25">
      <c r="A21" s="74" t="s">
        <v>22</v>
      </c>
      <c r="B21" s="75"/>
      <c r="C21" s="75"/>
      <c r="D21" s="75"/>
      <c r="E21" s="75"/>
      <c r="F21" s="75"/>
      <c r="G21" s="75"/>
      <c r="H21" s="75"/>
      <c r="I21" s="75"/>
      <c r="J21" s="75"/>
      <c r="K21" s="76"/>
    </row>
    <row r="22" spans="1:11" ht="15.75" thickBot="1" x14ac:dyDescent="0.3">
      <c r="A22" s="77" t="s">
        <v>23</v>
      </c>
      <c r="B22" s="78"/>
      <c r="C22" s="78"/>
      <c r="D22" s="78"/>
      <c r="E22" s="78"/>
      <c r="F22" s="78"/>
      <c r="G22" s="78"/>
      <c r="H22" s="78"/>
      <c r="I22" s="78"/>
      <c r="J22" s="78"/>
      <c r="K22" s="79"/>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B7 B9:Y9">
    <cfRule type="containsText" dxfId="21" priority="12" operator="containsText" text="10/12/xxxx">
      <formula>NOT(ISERROR(SEARCH("10/12/xxxx",B7)))</formula>
    </cfRule>
  </conditionalFormatting>
  <conditionalFormatting sqref="C7:K7">
    <cfRule type="containsText" dxfId="20" priority="10" operator="containsText" text="10/12/xxxx">
      <formula>NOT(ISERROR(SEARCH("10/12/xxxx",C7)))</formula>
    </cfRule>
  </conditionalFormatting>
  <conditionalFormatting sqref="Y18:Y20">
    <cfRule type="containsText" dxfId="19" priority="4" operator="containsText" text="10/12/xxxx">
      <formula>NOT(ISERROR(SEARCH("10/12/xxxx",Y18)))</formula>
    </cfRule>
  </conditionalFormatting>
  <dataValidations disablePrompts="1" count="5">
    <dataValidation allowBlank="1" showInputMessage="1" showErrorMessage="1" prompt="Please input the correct Rehabilitation Area number (RA#)" sqref="E2:K2" xr:uid="{6E679DB4-F54F-498B-9952-4CA7C5EFB112}"/>
    <dataValidation allowBlank="1" showInputMessage="1" showErrorMessage="1" promptTitle="Insert Area (ha)" prompt="Please insert the cumulative area available in hectares (ha)" sqref="B8:K8" xr:uid="{9DBA3638-593B-4441-981E-C12E311D166C}"/>
    <dataValidation allowBlank="1" showInputMessage="1" showErrorMessage="1" promptTitle="Insert Date" prompt="Please insert the date the area is available for rehabilitation" sqref="B7:K7 B9:AI9" xr:uid="{9C96B100-AAF0-459B-8E5C-21913D779167}"/>
    <dataValidation allowBlank="1" showInputMessage="1" showErrorMessage="1" promptTitle="Insert Area (ha)" prompt="Please insert the cumulative area achieved in hectares (ha) as required" sqref="Z15:AA15 B16:AA16 E13:K15 N15:T15 D12:J12 C11:J11 K11:K12 S16:Y16" xr:uid="{11F337A7-B4CC-463F-A6E6-FC19AB707CBA}"/>
    <dataValidation allowBlank="1" showInputMessage="1" showErrorMessage="1" promptTitle="Rehabilitation Milestone" prompt="Insert the Rehabilitation Milestone number here (RM#)" sqref="A11:X15 B16:AA16" xr:uid="{B046D7DF-04F6-4F73-85F9-84833B7F24C8}"/>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29777-BE97-441E-A461-49C0EE924807}">
  <sheetPr codeName="Sheet11"/>
  <dimension ref="A1:K20"/>
  <sheetViews>
    <sheetView workbookViewId="0">
      <selection activeCell="F9" sqref="F9"/>
    </sheetView>
  </sheetViews>
  <sheetFormatPr defaultColWidth="12.140625" defaultRowHeight="15" x14ac:dyDescent="0.25"/>
  <cols>
    <col min="1" max="1" width="15.7109375" style="2" customWidth="1"/>
    <col min="2" max="29" width="13.85546875" customWidth="1"/>
  </cols>
  <sheetData>
    <row r="1" spans="1:11" ht="23.25" customHeight="1" thickBot="1" x14ac:dyDescent="0.35">
      <c r="A1" s="71" t="s">
        <v>25</v>
      </c>
      <c r="B1" s="72"/>
      <c r="C1" s="72"/>
      <c r="D1" s="72"/>
      <c r="E1" s="72"/>
      <c r="F1" s="72"/>
      <c r="G1" s="72"/>
      <c r="H1" s="72"/>
      <c r="I1" s="72"/>
      <c r="J1" s="72"/>
      <c r="K1" s="73"/>
    </row>
    <row r="2" spans="1:11" ht="15.95" customHeight="1" thickBot="1" x14ac:dyDescent="0.3">
      <c r="A2" s="69" t="s">
        <v>0</v>
      </c>
      <c r="B2" s="69"/>
      <c r="C2" s="69"/>
      <c r="D2" s="69"/>
      <c r="E2" s="70" t="s">
        <v>30</v>
      </c>
      <c r="F2" s="70"/>
      <c r="G2" s="70"/>
      <c r="H2" s="70"/>
      <c r="I2" s="70"/>
      <c r="J2" s="70"/>
      <c r="K2" s="70"/>
    </row>
    <row r="3" spans="1:11" ht="15.95" customHeight="1" thickBot="1" x14ac:dyDescent="0.3">
      <c r="A3" s="69" t="s">
        <v>1</v>
      </c>
      <c r="B3" s="69"/>
      <c r="C3" s="69"/>
      <c r="D3" s="69"/>
      <c r="E3" s="70" t="s">
        <v>145</v>
      </c>
      <c r="F3" s="70"/>
      <c r="G3" s="70"/>
      <c r="H3" s="70"/>
      <c r="I3" s="70"/>
      <c r="J3" s="70"/>
      <c r="K3" s="70"/>
    </row>
    <row r="4" spans="1:11" ht="15.95" customHeight="1" thickBot="1" x14ac:dyDescent="0.3">
      <c r="A4" s="69" t="s">
        <v>24</v>
      </c>
      <c r="B4" s="69"/>
      <c r="C4" s="69"/>
      <c r="D4" s="69"/>
      <c r="E4" s="70">
        <v>548</v>
      </c>
      <c r="F4" s="70"/>
      <c r="G4" s="70"/>
      <c r="H4" s="70"/>
      <c r="I4" s="70"/>
      <c r="J4" s="70"/>
      <c r="K4" s="70"/>
    </row>
    <row r="5" spans="1:11" ht="32.1" customHeight="1" thickBot="1" x14ac:dyDescent="0.3">
      <c r="A5" s="80" t="s">
        <v>33</v>
      </c>
      <c r="B5" s="80"/>
      <c r="C5" s="80"/>
      <c r="D5" s="80"/>
      <c r="E5" s="81" t="s">
        <v>158</v>
      </c>
      <c r="F5" s="81"/>
      <c r="G5" s="81"/>
      <c r="H5" s="81"/>
      <c r="I5" s="81"/>
      <c r="J5" s="81"/>
      <c r="K5" s="81"/>
    </row>
    <row r="6" spans="1:11" ht="15.95" customHeight="1" thickBot="1" x14ac:dyDescent="0.3">
      <c r="A6" s="69" t="s">
        <v>26</v>
      </c>
      <c r="B6" s="69"/>
      <c r="C6" s="69"/>
      <c r="D6" s="69"/>
      <c r="E6" s="70" t="s">
        <v>32</v>
      </c>
      <c r="F6" s="70"/>
      <c r="G6" s="70"/>
      <c r="H6" s="70"/>
      <c r="I6" s="70"/>
      <c r="J6" s="70"/>
      <c r="K6" s="70"/>
    </row>
    <row r="7" spans="1:11" ht="30.95" customHeight="1" thickBot="1" x14ac:dyDescent="0.3">
      <c r="A7" s="3" t="s">
        <v>2</v>
      </c>
      <c r="B7" s="26" t="s">
        <v>44</v>
      </c>
      <c r="C7" s="26"/>
      <c r="D7" s="26"/>
      <c r="E7" s="26"/>
      <c r="F7" s="26"/>
      <c r="G7" s="26"/>
      <c r="H7" s="26"/>
      <c r="I7" s="26"/>
      <c r="J7" s="26"/>
      <c r="K7" s="26"/>
    </row>
    <row r="8" spans="1:11" ht="30.95" customHeight="1" thickBot="1" x14ac:dyDescent="0.3">
      <c r="A8" s="3" t="s">
        <v>15</v>
      </c>
      <c r="B8" s="12">
        <v>548</v>
      </c>
      <c r="C8" s="12"/>
      <c r="D8" s="12"/>
      <c r="E8" s="12"/>
      <c r="F8" s="12"/>
      <c r="G8" s="12"/>
      <c r="H8" s="12"/>
      <c r="I8" s="12"/>
      <c r="J8" s="12"/>
      <c r="K8" s="13"/>
    </row>
    <row r="9" spans="1:11" ht="30.95" customHeight="1" thickBot="1" x14ac:dyDescent="0.3">
      <c r="A9" s="4" t="s">
        <v>3</v>
      </c>
      <c r="B9" s="26" t="s">
        <v>45</v>
      </c>
      <c r="C9" s="26" t="s">
        <v>100</v>
      </c>
      <c r="D9" s="26" t="s">
        <v>109</v>
      </c>
      <c r="E9" s="26" t="s">
        <v>113</v>
      </c>
      <c r="F9" s="26"/>
      <c r="G9" s="26"/>
      <c r="H9" s="26"/>
      <c r="I9" s="26"/>
      <c r="J9" s="26"/>
      <c r="K9" s="26"/>
    </row>
    <row r="10" spans="1:11" ht="30.75" thickBot="1" x14ac:dyDescent="0.3">
      <c r="A10" s="1" t="s">
        <v>4</v>
      </c>
      <c r="B10" s="85" t="s">
        <v>5</v>
      </c>
      <c r="C10" s="86"/>
      <c r="D10" s="86"/>
      <c r="E10" s="86"/>
      <c r="F10" s="86"/>
      <c r="G10" s="86"/>
      <c r="H10" s="86"/>
      <c r="I10" s="86"/>
      <c r="J10" s="86"/>
      <c r="K10" s="87"/>
    </row>
    <row r="11" spans="1:11" ht="15.75" thickBot="1" x14ac:dyDescent="0.3">
      <c r="A11" s="5" t="s">
        <v>10</v>
      </c>
      <c r="B11" s="19">
        <v>548</v>
      </c>
      <c r="C11" s="19"/>
      <c r="D11" s="19"/>
      <c r="E11" s="19"/>
      <c r="F11" s="19"/>
      <c r="G11" s="19"/>
      <c r="H11" s="19"/>
      <c r="I11" s="19"/>
      <c r="J11" s="19"/>
      <c r="K11" s="29"/>
    </row>
    <row r="12" spans="1:11" ht="15.75" thickBot="1" x14ac:dyDescent="0.3">
      <c r="A12" s="5" t="s">
        <v>12</v>
      </c>
      <c r="B12" s="15"/>
      <c r="C12" s="19">
        <v>548</v>
      </c>
      <c r="D12" s="15"/>
      <c r="E12" s="15"/>
      <c r="F12" s="15"/>
      <c r="G12" s="15"/>
      <c r="H12" s="15"/>
      <c r="I12" s="15"/>
      <c r="J12" s="15"/>
      <c r="K12" s="16"/>
    </row>
    <row r="13" spans="1:11" ht="15.75" thickBot="1" x14ac:dyDescent="0.3">
      <c r="A13" s="5" t="s">
        <v>39</v>
      </c>
      <c r="B13" s="15"/>
      <c r="C13" s="15"/>
      <c r="D13" s="19">
        <v>548</v>
      </c>
      <c r="E13" s="15"/>
      <c r="F13" s="15"/>
      <c r="G13" s="15"/>
      <c r="H13" s="15"/>
      <c r="I13" s="15"/>
      <c r="J13" s="15"/>
      <c r="K13" s="16"/>
    </row>
    <row r="14" spans="1:11" ht="15.75" thickBot="1" x14ac:dyDescent="0.3">
      <c r="A14" s="6" t="s">
        <v>146</v>
      </c>
      <c r="B14" s="15"/>
      <c r="C14" s="15"/>
      <c r="D14" s="15"/>
      <c r="E14" s="15">
        <v>548</v>
      </c>
      <c r="F14" s="15"/>
      <c r="G14" s="15"/>
      <c r="H14" s="15"/>
      <c r="I14" s="15"/>
      <c r="J14" s="15"/>
      <c r="K14" s="15"/>
    </row>
    <row r="15" spans="1:11" x14ac:dyDescent="0.25">
      <c r="A15"/>
    </row>
    <row r="16" spans="1:11" ht="15.75" thickBot="1" x14ac:dyDescent="0.3"/>
    <row r="17" spans="1:11" x14ac:dyDescent="0.25">
      <c r="A17" s="82" t="s">
        <v>20</v>
      </c>
      <c r="B17" s="83"/>
      <c r="C17" s="83"/>
      <c r="D17" s="83"/>
      <c r="E17" s="83"/>
      <c r="F17" s="83"/>
      <c r="G17" s="83"/>
      <c r="H17" s="83"/>
      <c r="I17" s="83"/>
      <c r="J17" s="83"/>
      <c r="K17" s="84"/>
    </row>
    <row r="18" spans="1:11" x14ac:dyDescent="0.25">
      <c r="A18" s="74" t="s">
        <v>21</v>
      </c>
      <c r="B18" s="75"/>
      <c r="C18" s="75"/>
      <c r="D18" s="75"/>
      <c r="E18" s="75"/>
      <c r="F18" s="75"/>
      <c r="G18" s="75"/>
      <c r="H18" s="75"/>
      <c r="I18" s="75"/>
      <c r="J18" s="75"/>
      <c r="K18" s="76"/>
    </row>
    <row r="19" spans="1:11" x14ac:dyDescent="0.25">
      <c r="A19" s="74" t="s">
        <v>22</v>
      </c>
      <c r="B19" s="75"/>
      <c r="C19" s="75"/>
      <c r="D19" s="75"/>
      <c r="E19" s="75"/>
      <c r="F19" s="75"/>
      <c r="G19" s="75"/>
      <c r="H19" s="75"/>
      <c r="I19" s="75"/>
      <c r="J19" s="75"/>
      <c r="K19" s="76"/>
    </row>
    <row r="20" spans="1:11" ht="15.75" thickBot="1" x14ac:dyDescent="0.3">
      <c r="A20" s="77" t="s">
        <v>23</v>
      </c>
      <c r="B20" s="78"/>
      <c r="C20" s="78"/>
      <c r="D20" s="78"/>
      <c r="E20" s="78"/>
      <c r="F20" s="78"/>
      <c r="G20" s="78"/>
      <c r="H20" s="78"/>
      <c r="I20" s="78"/>
      <c r="J20" s="78"/>
      <c r="K20" s="79"/>
    </row>
  </sheetData>
  <mergeCells count="16">
    <mergeCell ref="A4:D4"/>
    <mergeCell ref="E4:K4"/>
    <mergeCell ref="A1:K1"/>
    <mergeCell ref="A2:D2"/>
    <mergeCell ref="E2:K2"/>
    <mergeCell ref="A3:D3"/>
    <mergeCell ref="E3:K3"/>
    <mergeCell ref="A18:K18"/>
    <mergeCell ref="A19:K19"/>
    <mergeCell ref="A20:K20"/>
    <mergeCell ref="A5:D5"/>
    <mergeCell ref="E5:K5"/>
    <mergeCell ref="A6:D6"/>
    <mergeCell ref="E6:K6"/>
    <mergeCell ref="B10:K10"/>
    <mergeCell ref="A17:K17"/>
  </mergeCells>
  <conditionalFormatting sqref="B7">
    <cfRule type="containsText" dxfId="18" priority="7" operator="containsText" text="10/12/xxxx">
      <formula>NOT(ISERROR(SEARCH("10/12/xxxx",B7)))</formula>
    </cfRule>
  </conditionalFormatting>
  <conditionalFormatting sqref="B9:D9 F9:H9">
    <cfRule type="containsText" dxfId="17" priority="5" operator="containsText" text="10/12/xxxx">
      <formula>NOT(ISERROR(SEARCH("10/12/xxxx",B9)))</formula>
    </cfRule>
  </conditionalFormatting>
  <conditionalFormatting sqref="C7:K7">
    <cfRule type="containsText" dxfId="16" priority="6" operator="containsText" text="10/12/xxxx">
      <formula>NOT(ISERROR(SEARCH("10/12/xxxx",C7)))</formula>
    </cfRule>
  </conditionalFormatting>
  <conditionalFormatting sqref="E9">
    <cfRule type="containsText" dxfId="15" priority="1" operator="containsText" text="10/12/xxxx">
      <formula>NOT(ISERROR(SEARCH("10/12/xxxx",E9)))</formula>
    </cfRule>
  </conditionalFormatting>
  <conditionalFormatting sqref="I9:AA9">
    <cfRule type="containsText" dxfId="14" priority="2" operator="containsText" text="10/12/xxxx">
      <formula>NOT(ISERROR(SEARCH("10/12/xxxx",I9)))</formula>
    </cfRule>
  </conditionalFormatting>
  <dataValidations count="5">
    <dataValidation allowBlank="1" showInputMessage="1" showErrorMessage="1" promptTitle="Insert Area (ha)" prompt="Please insert the cumulative area achieved in hectares (ha) as required" sqref="C11 S14:AA14 D11:L13 B13:B14 C14:D14" xr:uid="{B4990DC7-0684-48DB-B790-E77051F88B32}"/>
    <dataValidation allowBlank="1" showInputMessage="1" showErrorMessage="1" promptTitle="Insert Date" prompt="Please insert the date the area is available for rehabilitation" sqref="B7:K7 B9:AA9" xr:uid="{142F1A86-B1ED-4D4A-8A6E-87F4C16F584F}"/>
    <dataValidation allowBlank="1" showInputMessage="1" showErrorMessage="1" promptTitle="Insert Area (ha)" prompt="Please insert the cumulative area available in hectares (ha)" sqref="B8:K8" xr:uid="{2FF5DAD0-4522-48A7-A26D-5E96F64A4F41}"/>
    <dataValidation allowBlank="1" showInputMessage="1" showErrorMessage="1" prompt="Please input the correct Rehabilitation Area number (RA#)" sqref="E2:K2" xr:uid="{329E815E-BDCE-4B1F-8A46-CEF93AB4308C}"/>
    <dataValidation allowBlank="1" showInputMessage="1" showErrorMessage="1" promptTitle="Rehabilitation Milestone" prompt="Insert the Rehabilitation Milestone number here (RM#)" sqref="A11:A13" xr:uid="{AE5E2537-D04C-49D9-8A77-6507353B6A78}"/>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0412F-D649-4C40-969E-24368B44B574}">
  <sheetPr codeName="Sheet5"/>
  <dimension ref="A1:K19"/>
  <sheetViews>
    <sheetView workbookViewId="0">
      <selection activeCell="D15" sqref="D15"/>
    </sheetView>
  </sheetViews>
  <sheetFormatPr defaultColWidth="12.140625" defaultRowHeight="15" x14ac:dyDescent="0.25"/>
  <cols>
    <col min="1" max="1" width="15.7109375" style="2" customWidth="1"/>
    <col min="2" max="11" width="13.85546875" customWidth="1"/>
  </cols>
  <sheetData>
    <row r="1" spans="1:11" ht="23.25" customHeight="1" thickBot="1" x14ac:dyDescent="0.35">
      <c r="A1" s="71" t="s">
        <v>25</v>
      </c>
      <c r="B1" s="72"/>
      <c r="C1" s="72"/>
      <c r="D1" s="72"/>
      <c r="E1" s="72"/>
      <c r="F1" s="72"/>
      <c r="G1" s="72"/>
      <c r="H1" s="72"/>
      <c r="I1" s="72"/>
      <c r="J1" s="72"/>
      <c r="K1" s="73"/>
    </row>
    <row r="2" spans="1:11" ht="15.95" customHeight="1" thickBot="1" x14ac:dyDescent="0.3">
      <c r="A2" s="69" t="s">
        <v>0</v>
      </c>
      <c r="B2" s="69"/>
      <c r="C2" s="69"/>
      <c r="D2" s="69"/>
      <c r="E2" s="70" t="s">
        <v>35</v>
      </c>
      <c r="F2" s="70"/>
      <c r="G2" s="70"/>
      <c r="H2" s="70"/>
      <c r="I2" s="70"/>
      <c r="J2" s="70"/>
      <c r="K2" s="70"/>
    </row>
    <row r="3" spans="1:11" ht="15.95" customHeight="1" thickBot="1" x14ac:dyDescent="0.3">
      <c r="A3" s="69" t="s">
        <v>1</v>
      </c>
      <c r="B3" s="69"/>
      <c r="C3" s="69"/>
      <c r="D3" s="69"/>
      <c r="E3" s="70" t="s">
        <v>152</v>
      </c>
      <c r="F3" s="70"/>
      <c r="G3" s="70"/>
      <c r="H3" s="70"/>
      <c r="I3" s="70"/>
      <c r="J3" s="70"/>
      <c r="K3" s="70"/>
    </row>
    <row r="4" spans="1:11" ht="15.95" customHeight="1" thickBot="1" x14ac:dyDescent="0.3">
      <c r="A4" s="69" t="s">
        <v>24</v>
      </c>
      <c r="B4" s="69"/>
      <c r="C4" s="69"/>
      <c r="D4" s="69"/>
      <c r="E4" s="70">
        <v>126</v>
      </c>
      <c r="F4" s="70"/>
      <c r="G4" s="70"/>
      <c r="H4" s="70"/>
      <c r="I4" s="70"/>
      <c r="J4" s="70"/>
      <c r="K4" s="70"/>
    </row>
    <row r="5" spans="1:11" ht="32.1" customHeight="1" thickBot="1" x14ac:dyDescent="0.3">
      <c r="A5" s="80" t="s">
        <v>43</v>
      </c>
      <c r="B5" s="80"/>
      <c r="C5" s="80"/>
      <c r="D5" s="80"/>
      <c r="E5" s="81" t="s">
        <v>159</v>
      </c>
      <c r="F5" s="81"/>
      <c r="G5" s="81"/>
      <c r="H5" s="81"/>
      <c r="I5" s="81"/>
      <c r="J5" s="81"/>
      <c r="K5" s="81"/>
    </row>
    <row r="6" spans="1:11" ht="15.95" customHeight="1" thickBot="1" x14ac:dyDescent="0.3">
      <c r="A6" s="69" t="s">
        <v>26</v>
      </c>
      <c r="B6" s="69"/>
      <c r="C6" s="69"/>
      <c r="D6" s="69"/>
      <c r="E6" s="70" t="s">
        <v>32</v>
      </c>
      <c r="F6" s="70"/>
      <c r="G6" s="70"/>
      <c r="H6" s="70"/>
      <c r="I6" s="70"/>
      <c r="J6" s="70"/>
      <c r="K6" s="70"/>
    </row>
    <row r="7" spans="1:11" ht="30.95" customHeight="1" thickBot="1" x14ac:dyDescent="0.3">
      <c r="A7" s="3" t="s">
        <v>2</v>
      </c>
      <c r="B7" s="26" t="s">
        <v>44</v>
      </c>
      <c r="C7" s="11"/>
      <c r="D7" s="11"/>
      <c r="E7" s="11"/>
      <c r="F7" s="11"/>
      <c r="G7" s="11"/>
      <c r="H7" s="11"/>
      <c r="I7" s="11"/>
      <c r="J7" s="11"/>
      <c r="K7" s="11"/>
    </row>
    <row r="8" spans="1:11" ht="30.95" customHeight="1" thickBot="1" x14ac:dyDescent="0.3">
      <c r="A8" s="3" t="s">
        <v>15</v>
      </c>
      <c r="B8" s="12">
        <v>126</v>
      </c>
      <c r="C8" s="12"/>
      <c r="D8" s="12"/>
      <c r="E8" s="12"/>
      <c r="F8" s="12"/>
      <c r="G8" s="12"/>
      <c r="H8" s="12"/>
      <c r="I8" s="12"/>
      <c r="J8" s="12"/>
      <c r="K8" s="13"/>
    </row>
    <row r="9" spans="1:11" ht="30.95" customHeight="1" thickBot="1" x14ac:dyDescent="0.3">
      <c r="A9" s="4" t="s">
        <v>3</v>
      </c>
      <c r="B9" s="26" t="s">
        <v>45</v>
      </c>
      <c r="C9" s="26" t="s">
        <v>108</v>
      </c>
      <c r="D9" s="26" t="s">
        <v>46</v>
      </c>
      <c r="E9" s="14"/>
      <c r="F9" s="14"/>
      <c r="G9" s="14"/>
      <c r="H9" s="14"/>
      <c r="I9" s="14"/>
      <c r="J9" s="14"/>
      <c r="K9" s="14"/>
    </row>
    <row r="10" spans="1:11" ht="30.75" thickBot="1" x14ac:dyDescent="0.3">
      <c r="A10" s="1" t="s">
        <v>4</v>
      </c>
      <c r="B10" s="85" t="s">
        <v>5</v>
      </c>
      <c r="C10" s="86"/>
      <c r="D10" s="86"/>
      <c r="E10" s="86"/>
      <c r="F10" s="86"/>
      <c r="G10" s="86"/>
      <c r="H10" s="86"/>
      <c r="I10" s="86"/>
      <c r="J10" s="86"/>
      <c r="K10" s="87"/>
    </row>
    <row r="11" spans="1:11" ht="15.75" thickBot="1" x14ac:dyDescent="0.3">
      <c r="A11" s="5" t="s">
        <v>17</v>
      </c>
      <c r="B11" s="15">
        <v>126</v>
      </c>
      <c r="C11" s="15"/>
      <c r="D11" s="15"/>
      <c r="E11" s="15"/>
      <c r="F11" s="15"/>
      <c r="G11" s="15"/>
      <c r="H11" s="15"/>
      <c r="I11" s="15"/>
      <c r="J11" s="15"/>
      <c r="K11" s="16"/>
    </row>
    <row r="12" spans="1:11" ht="15.75" thickBot="1" x14ac:dyDescent="0.3">
      <c r="A12" s="5" t="s">
        <v>39</v>
      </c>
      <c r="B12" s="15"/>
      <c r="C12" s="15">
        <v>126</v>
      </c>
      <c r="D12" s="15"/>
      <c r="E12" s="15"/>
      <c r="F12" s="15"/>
      <c r="G12" s="15"/>
      <c r="H12" s="15"/>
      <c r="I12" s="15"/>
      <c r="J12" s="15"/>
      <c r="K12" s="16"/>
    </row>
    <row r="13" spans="1:11" ht="15.75" thickBot="1" x14ac:dyDescent="0.3">
      <c r="A13" s="6" t="s">
        <v>146</v>
      </c>
      <c r="B13" s="17"/>
      <c r="C13" s="15"/>
      <c r="D13" s="15">
        <v>126</v>
      </c>
      <c r="E13" s="15"/>
      <c r="F13" s="15"/>
      <c r="G13" s="15"/>
      <c r="H13" s="15"/>
      <c r="I13" s="15"/>
      <c r="J13" s="15"/>
      <c r="K13" s="16"/>
    </row>
    <row r="14" spans="1:11" x14ac:dyDescent="0.25">
      <c r="A14"/>
    </row>
    <row r="15" spans="1:11" ht="15.75" thickBot="1" x14ac:dyDescent="0.3"/>
    <row r="16" spans="1:11" x14ac:dyDescent="0.25">
      <c r="A16" s="82" t="s">
        <v>20</v>
      </c>
      <c r="B16" s="83"/>
      <c r="C16" s="83"/>
      <c r="D16" s="83"/>
      <c r="E16" s="83"/>
      <c r="F16" s="83"/>
      <c r="G16" s="83"/>
      <c r="H16" s="83"/>
      <c r="I16" s="83"/>
      <c r="J16" s="83"/>
      <c r="K16" s="84"/>
    </row>
    <row r="17" spans="1:11" x14ac:dyDescent="0.25">
      <c r="A17" s="74" t="s">
        <v>21</v>
      </c>
      <c r="B17" s="75"/>
      <c r="C17" s="75"/>
      <c r="D17" s="75"/>
      <c r="E17" s="75"/>
      <c r="F17" s="75"/>
      <c r="G17" s="75"/>
      <c r="H17" s="75"/>
      <c r="I17" s="75"/>
      <c r="J17" s="75"/>
      <c r="K17" s="76"/>
    </row>
    <row r="18" spans="1:11" x14ac:dyDescent="0.25">
      <c r="A18" s="74" t="s">
        <v>22</v>
      </c>
      <c r="B18" s="75"/>
      <c r="C18" s="75"/>
      <c r="D18" s="75"/>
      <c r="E18" s="75"/>
      <c r="F18" s="75"/>
      <c r="G18" s="75"/>
      <c r="H18" s="75"/>
      <c r="I18" s="75"/>
      <c r="J18" s="75"/>
      <c r="K18" s="76"/>
    </row>
    <row r="19" spans="1:11" ht="15.75" thickBot="1" x14ac:dyDescent="0.3">
      <c r="A19" s="77" t="s">
        <v>23</v>
      </c>
      <c r="B19" s="78"/>
      <c r="C19" s="78"/>
      <c r="D19" s="78"/>
      <c r="E19" s="78"/>
      <c r="F19" s="78"/>
      <c r="G19" s="78"/>
      <c r="H19" s="78"/>
      <c r="I19" s="78"/>
      <c r="J19" s="78"/>
      <c r="K19" s="79"/>
    </row>
  </sheetData>
  <mergeCells count="16">
    <mergeCell ref="A17:K17"/>
    <mergeCell ref="A18:K18"/>
    <mergeCell ref="A19:K19"/>
    <mergeCell ref="A5:D5"/>
    <mergeCell ref="E5:K5"/>
    <mergeCell ref="A6:D6"/>
    <mergeCell ref="E6:K6"/>
    <mergeCell ref="B10:K10"/>
    <mergeCell ref="A16:K16"/>
    <mergeCell ref="A4:D4"/>
    <mergeCell ref="E4:K4"/>
    <mergeCell ref="A1:K1"/>
    <mergeCell ref="A2:D2"/>
    <mergeCell ref="E2:K2"/>
    <mergeCell ref="A3:D3"/>
    <mergeCell ref="E3:K3"/>
  </mergeCells>
  <conditionalFormatting sqref="B7">
    <cfRule type="containsText" dxfId="13" priority="3" operator="containsText" text="10/12/xxxx">
      <formula>NOT(ISERROR(SEARCH("10/12/xxxx",B7)))</formula>
    </cfRule>
  </conditionalFormatting>
  <conditionalFormatting sqref="B9:C9">
    <cfRule type="containsText" dxfId="12" priority="2" operator="containsText" text="10/12/xxxx">
      <formula>NOT(ISERROR(SEARCH("10/12/xxxx",B9)))</formula>
    </cfRule>
  </conditionalFormatting>
  <conditionalFormatting sqref="C7:K7">
    <cfRule type="containsText" dxfId="11" priority="5" operator="containsText" text="10/12/xxxx">
      <formula>NOT(ISERROR(SEARCH("10/12/xxxx",C7)))</formula>
    </cfRule>
  </conditionalFormatting>
  <conditionalFormatting sqref="D9">
    <cfRule type="containsText" dxfId="10" priority="1" operator="containsText" text="10/12/xxxx">
      <formula>NOT(ISERROR(SEARCH("10/12/xxxx",D9)))</formula>
    </cfRule>
  </conditionalFormatting>
  <conditionalFormatting sqref="E9:K9">
    <cfRule type="containsText" dxfId="9" priority="4" operator="containsText" text="xx/xx/xxxx">
      <formula>NOT(ISERROR(SEARCH("xx/xx/xxxx",E9)))</formula>
    </cfRule>
  </conditionalFormatting>
  <dataValidations count="6">
    <dataValidation allowBlank="1" showInputMessage="1" showErrorMessage="1" promptTitle="Insert Date" prompt="Please insert the date the area is available for rehabilitation" sqref="B7:K7 B9:D9" xr:uid="{028818EE-ABC3-412D-88C7-CE2F1E52AD62}"/>
    <dataValidation allowBlank="1" showInputMessage="1" showErrorMessage="1" promptTitle="Insert Date" prompt="Please insert the data the milestone is to be completed by" sqref="E9:K9" xr:uid="{913DA72F-F654-4FBA-9694-5DAB65C9AEA6}"/>
    <dataValidation allowBlank="1" showInputMessage="1" showErrorMessage="1" promptTitle="Insert Area (ha)" prompt="Please insert the cumulative area available in hectares (ha)" sqref="B8:K8" xr:uid="{863176ED-C491-4CAC-8987-FA0D9653DBDC}"/>
    <dataValidation allowBlank="1" showInputMessage="1" showErrorMessage="1" prompt="Please input the correct Rehabilitation Area number (RA#)" sqref="E2:K2" xr:uid="{71C624D3-E01F-4A5B-BE05-48FA10696DE2}"/>
    <dataValidation allowBlank="1" showInputMessage="1" showErrorMessage="1" promptTitle="Rehabilitation Milestone" prompt="Insert the Rehabilitation Milestone number here (RM#)" sqref="A11:A12" xr:uid="{082EE833-F2B4-4A75-ADC8-0D366270D851}"/>
    <dataValidation allowBlank="1" showInputMessage="1" showErrorMessage="1" promptTitle="Insert Area (ha)" prompt="Please insert the cumulative area achieved in hectares (ha) as required" sqref="B11:K12 C13:K13" xr:uid="{177E9068-9792-4112-A400-EDAB8DAC7EFA}"/>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F939B-EBCF-4080-9534-FDDDBD0D7D77}">
  <sheetPr codeName="Sheet7"/>
  <dimension ref="A1:K18"/>
  <sheetViews>
    <sheetView workbookViewId="0">
      <selection activeCell="D9" sqref="D9"/>
    </sheetView>
  </sheetViews>
  <sheetFormatPr defaultColWidth="12.140625" defaultRowHeight="15" x14ac:dyDescent="0.25"/>
  <cols>
    <col min="1" max="1" width="15.7109375" style="2" customWidth="1"/>
    <col min="2" max="11" width="13.85546875" customWidth="1"/>
  </cols>
  <sheetData>
    <row r="1" spans="1:11" ht="23.25" customHeight="1" thickBot="1" x14ac:dyDescent="0.35">
      <c r="A1" s="71" t="s">
        <v>25</v>
      </c>
      <c r="B1" s="72"/>
      <c r="C1" s="72"/>
      <c r="D1" s="72"/>
      <c r="E1" s="72"/>
      <c r="F1" s="72"/>
      <c r="G1" s="72"/>
      <c r="H1" s="72"/>
      <c r="I1" s="72"/>
      <c r="J1" s="72"/>
      <c r="K1" s="73"/>
    </row>
    <row r="2" spans="1:11" ht="15.95" customHeight="1" thickBot="1" x14ac:dyDescent="0.3">
      <c r="A2" s="69" t="s">
        <v>0</v>
      </c>
      <c r="B2" s="69"/>
      <c r="C2" s="69"/>
      <c r="D2" s="69"/>
      <c r="E2" s="70" t="s">
        <v>37</v>
      </c>
      <c r="F2" s="70"/>
      <c r="G2" s="70"/>
      <c r="H2" s="70"/>
      <c r="I2" s="70"/>
      <c r="J2" s="70"/>
      <c r="K2" s="70"/>
    </row>
    <row r="3" spans="1:11" ht="15.95" customHeight="1" thickBot="1" x14ac:dyDescent="0.3">
      <c r="A3" s="69" t="s">
        <v>1</v>
      </c>
      <c r="B3" s="69"/>
      <c r="C3" s="69"/>
      <c r="D3" s="69"/>
      <c r="E3" s="70" t="s">
        <v>36</v>
      </c>
      <c r="F3" s="70"/>
      <c r="G3" s="70"/>
      <c r="H3" s="70"/>
      <c r="I3" s="70"/>
      <c r="J3" s="70"/>
      <c r="K3" s="70"/>
    </row>
    <row r="4" spans="1:11" ht="15.95" customHeight="1" thickBot="1" x14ac:dyDescent="0.3">
      <c r="A4" s="69" t="s">
        <v>24</v>
      </c>
      <c r="B4" s="69"/>
      <c r="C4" s="69"/>
      <c r="D4" s="69"/>
      <c r="E4" s="70">
        <v>4844</v>
      </c>
      <c r="F4" s="70"/>
      <c r="G4" s="70"/>
      <c r="H4" s="70"/>
      <c r="I4" s="70"/>
      <c r="J4" s="70"/>
      <c r="K4" s="70"/>
    </row>
    <row r="5" spans="1:11" ht="32.1" customHeight="1" thickBot="1" x14ac:dyDescent="0.3">
      <c r="A5" s="80" t="s">
        <v>141</v>
      </c>
      <c r="B5" s="80"/>
      <c r="C5" s="80"/>
      <c r="D5" s="80"/>
      <c r="E5" s="81" t="s">
        <v>159</v>
      </c>
      <c r="F5" s="81"/>
      <c r="G5" s="81"/>
      <c r="H5" s="81"/>
      <c r="I5" s="81"/>
      <c r="J5" s="81"/>
      <c r="K5" s="81"/>
    </row>
    <row r="6" spans="1:11" ht="15.95" customHeight="1" thickBot="1" x14ac:dyDescent="0.3">
      <c r="A6" s="69" t="s">
        <v>26</v>
      </c>
      <c r="B6" s="69"/>
      <c r="C6" s="69"/>
      <c r="D6" s="69"/>
      <c r="E6" s="70" t="s">
        <v>32</v>
      </c>
      <c r="F6" s="70"/>
      <c r="G6" s="70"/>
      <c r="H6" s="70"/>
      <c r="I6" s="70"/>
      <c r="J6" s="70"/>
      <c r="K6" s="70"/>
    </row>
    <row r="7" spans="1:11" ht="30.95" customHeight="1" thickBot="1" x14ac:dyDescent="0.3">
      <c r="A7" s="3" t="s">
        <v>2</v>
      </c>
      <c r="B7" s="26" t="s">
        <v>44</v>
      </c>
      <c r="C7" s="11"/>
      <c r="D7" s="26"/>
      <c r="E7" s="11"/>
      <c r="F7" s="11"/>
      <c r="G7" s="11"/>
      <c r="H7" s="11"/>
      <c r="I7" s="11"/>
      <c r="J7" s="11"/>
      <c r="K7" s="11"/>
    </row>
    <row r="8" spans="1:11" ht="30.95" customHeight="1" thickBot="1" x14ac:dyDescent="0.3">
      <c r="A8" s="3" t="s">
        <v>15</v>
      </c>
      <c r="B8" s="12">
        <v>4844</v>
      </c>
      <c r="C8" s="12"/>
      <c r="D8" s="12"/>
      <c r="E8" s="12"/>
      <c r="F8" s="12"/>
      <c r="G8" s="12"/>
      <c r="H8" s="12"/>
      <c r="I8" s="12"/>
      <c r="J8" s="12"/>
      <c r="K8" s="13"/>
    </row>
    <row r="9" spans="1:11" ht="30.95" customHeight="1" thickBot="1" x14ac:dyDescent="0.3">
      <c r="A9" s="4" t="s">
        <v>3</v>
      </c>
      <c r="B9" s="26" t="s">
        <v>106</v>
      </c>
      <c r="C9" s="26" t="s">
        <v>111</v>
      </c>
      <c r="D9" s="14"/>
      <c r="E9" s="14"/>
      <c r="F9" s="14"/>
      <c r="G9" s="14"/>
      <c r="H9" s="14"/>
      <c r="I9" s="14"/>
      <c r="J9" s="14"/>
      <c r="K9" s="14"/>
    </row>
    <row r="10" spans="1:11" ht="30.75" thickBot="1" x14ac:dyDescent="0.3">
      <c r="A10" s="1" t="s">
        <v>4</v>
      </c>
      <c r="B10" s="85" t="s">
        <v>5</v>
      </c>
      <c r="C10" s="86"/>
      <c r="D10" s="86"/>
      <c r="E10" s="86"/>
      <c r="F10" s="86"/>
      <c r="G10" s="86"/>
      <c r="H10" s="86"/>
      <c r="I10" s="86"/>
      <c r="J10" s="86"/>
      <c r="K10" s="87"/>
    </row>
    <row r="11" spans="1:11" ht="15.75" thickBot="1" x14ac:dyDescent="0.3">
      <c r="A11" s="35" t="s">
        <v>39</v>
      </c>
      <c r="B11" s="15">
        <v>4844</v>
      </c>
      <c r="C11" s="15"/>
      <c r="D11" s="15"/>
      <c r="E11" s="15"/>
      <c r="F11" s="15"/>
      <c r="G11" s="15"/>
      <c r="H11" s="15"/>
      <c r="I11" s="15"/>
      <c r="J11" s="15"/>
      <c r="K11" s="15"/>
    </row>
    <row r="12" spans="1:11" ht="15.75" thickBot="1" x14ac:dyDescent="0.3">
      <c r="A12" s="36" t="s">
        <v>146</v>
      </c>
      <c r="B12" s="33"/>
      <c r="C12" s="15">
        <v>4844</v>
      </c>
      <c r="D12" s="15"/>
      <c r="E12" s="15"/>
      <c r="F12" s="15"/>
      <c r="G12" s="15"/>
      <c r="H12" s="15"/>
      <c r="I12" s="15"/>
      <c r="J12" s="15"/>
      <c r="K12" s="16"/>
    </row>
    <row r="13" spans="1:11" x14ac:dyDescent="0.25">
      <c r="A13"/>
    </row>
    <row r="14" spans="1:11" ht="15.75" thickBot="1" x14ac:dyDescent="0.3"/>
    <row r="15" spans="1:11" x14ac:dyDescent="0.25">
      <c r="A15" s="82" t="s">
        <v>20</v>
      </c>
      <c r="B15" s="83"/>
      <c r="C15" s="83"/>
      <c r="D15" s="83"/>
      <c r="E15" s="83"/>
      <c r="F15" s="83"/>
      <c r="G15" s="83"/>
      <c r="H15" s="83"/>
      <c r="I15" s="83"/>
      <c r="J15" s="83"/>
      <c r="K15" s="84"/>
    </row>
    <row r="16" spans="1:11" x14ac:dyDescent="0.25">
      <c r="A16" s="74" t="s">
        <v>21</v>
      </c>
      <c r="B16" s="75"/>
      <c r="C16" s="75"/>
      <c r="D16" s="75"/>
      <c r="E16" s="75"/>
      <c r="F16" s="75"/>
      <c r="G16" s="75"/>
      <c r="H16" s="75"/>
      <c r="I16" s="75"/>
      <c r="J16" s="75"/>
      <c r="K16" s="76"/>
    </row>
    <row r="17" spans="1:11" x14ac:dyDescent="0.25">
      <c r="A17" s="74" t="s">
        <v>22</v>
      </c>
      <c r="B17" s="75"/>
      <c r="C17" s="75"/>
      <c r="D17" s="75"/>
      <c r="E17" s="75"/>
      <c r="F17" s="75"/>
      <c r="G17" s="75"/>
      <c r="H17" s="75"/>
      <c r="I17" s="75"/>
      <c r="J17" s="75"/>
      <c r="K17" s="76"/>
    </row>
    <row r="18" spans="1:11" ht="15.75" thickBot="1" x14ac:dyDescent="0.3">
      <c r="A18" s="77" t="s">
        <v>23</v>
      </c>
      <c r="B18" s="78"/>
      <c r="C18" s="78"/>
      <c r="D18" s="78"/>
      <c r="E18" s="78"/>
      <c r="F18" s="78"/>
      <c r="G18" s="78"/>
      <c r="H18" s="78"/>
      <c r="I18" s="78"/>
      <c r="J18" s="78"/>
      <c r="K18" s="79"/>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
    <cfRule type="containsText" dxfId="8" priority="2" operator="containsText" text="10/12/xxxx">
      <formula>NOT(ISERROR(SEARCH("10/12/xxxx",B7)))</formula>
    </cfRule>
  </conditionalFormatting>
  <conditionalFormatting sqref="B9:C9">
    <cfRule type="containsText" dxfId="7" priority="1" operator="containsText" text="10/12/xxxx">
      <formula>NOT(ISERROR(SEARCH("10/12/xxxx",B9)))</formula>
    </cfRule>
  </conditionalFormatting>
  <conditionalFormatting sqref="C7 E7:K7">
    <cfRule type="containsText" dxfId="6" priority="5" operator="containsText" text="10/12/xxxx">
      <formula>NOT(ISERROR(SEARCH("10/12/xxxx",C7)))</formula>
    </cfRule>
  </conditionalFormatting>
  <conditionalFormatting sqref="D7">
    <cfRule type="containsText" dxfId="5" priority="3" operator="containsText" text="10/12/xxxx">
      <formula>NOT(ISERROR(SEARCH("10/12/xxxx",D7)))</formula>
    </cfRule>
  </conditionalFormatting>
  <conditionalFormatting sqref="D9:K9">
    <cfRule type="containsText" dxfId="4" priority="4" operator="containsText" text="xx/xx/xxxx">
      <formula>NOT(ISERROR(SEARCH("xx/xx/xxxx",D9)))</formula>
    </cfRule>
  </conditionalFormatting>
  <dataValidations count="6">
    <dataValidation allowBlank="1" showInputMessage="1" showErrorMessage="1" promptTitle="Rehabilitation Milestone" prompt="Insert the Rehabilitation Milestone number here (RM#)" sqref="A11" xr:uid="{64DBA932-51CC-4DBD-8C55-0BF53D911C5F}"/>
    <dataValidation allowBlank="1" showInputMessage="1" showErrorMessage="1" promptTitle="Insert Date" prompt="Please insert the date the area is available for rehabilitation" sqref="B7:K7 B9:C9" xr:uid="{9C00397B-4877-4F40-AEAD-E7ADAD9B1D45}"/>
    <dataValidation allowBlank="1" showInputMessage="1" showErrorMessage="1" promptTitle="Insert Date" prompt="Please insert the data the milestone is to be completed by" sqref="D9:K9" xr:uid="{946C09B0-BC90-4C52-B4CE-83E538F26C9E}"/>
    <dataValidation allowBlank="1" showInputMessage="1" showErrorMessage="1" promptTitle="Insert Area (ha)" prompt="Please insert the cumulative area available in hectares (ha)" sqref="B8:K8" xr:uid="{123FEF62-514A-449A-8299-DE310F8953B4}"/>
    <dataValidation allowBlank="1" showInputMessage="1" showErrorMessage="1" prompt="Please input the correct Rehabilitation Area number (RA#)" sqref="E2:K2" xr:uid="{6ED541BF-B448-41D3-A6C8-4F3AB094300F}"/>
    <dataValidation allowBlank="1" showInputMessage="1" showErrorMessage="1" promptTitle="Insert Area (ha)" prompt="Please insert the cumulative area achieved in hectares (ha) as required" sqref="C12:K12 B11" xr:uid="{4BBF9801-60F0-49E9-A4F8-8DF4C68AA320}"/>
  </dataValidation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98396-AD83-45D1-BE13-831C99978D43}">
  <sheetPr codeName="Sheet9"/>
  <dimension ref="A1:BU21"/>
  <sheetViews>
    <sheetView workbookViewId="0">
      <selection activeCell="CB16" sqref="CB16"/>
    </sheetView>
  </sheetViews>
  <sheetFormatPr defaultColWidth="12.140625" defaultRowHeight="15" x14ac:dyDescent="0.25"/>
  <cols>
    <col min="1" max="1" width="15.7109375" style="2" customWidth="1"/>
    <col min="2" max="3" width="13.85546875" bestFit="1" customWidth="1"/>
    <col min="4" max="84" width="13.85546875" customWidth="1"/>
  </cols>
  <sheetData>
    <row r="1" spans="1:73" ht="23.25" customHeight="1" thickBot="1" x14ac:dyDescent="0.35">
      <c r="A1" s="71" t="s">
        <v>25</v>
      </c>
      <c r="B1" s="72"/>
      <c r="C1" s="72"/>
      <c r="D1" s="72"/>
      <c r="E1" s="72"/>
      <c r="F1" s="72"/>
      <c r="G1" s="72"/>
      <c r="H1" s="72"/>
      <c r="I1" s="72"/>
      <c r="J1" s="72"/>
      <c r="K1" s="73"/>
    </row>
    <row r="2" spans="1:73" ht="15.95" customHeight="1" thickBot="1" x14ac:dyDescent="0.3">
      <c r="A2" s="69" t="s">
        <v>0</v>
      </c>
      <c r="B2" s="69"/>
      <c r="C2" s="69"/>
      <c r="D2" s="69"/>
      <c r="E2" s="70" t="s">
        <v>143</v>
      </c>
      <c r="F2" s="70"/>
      <c r="G2" s="70"/>
      <c r="H2" s="70"/>
      <c r="I2" s="70"/>
      <c r="J2" s="70"/>
      <c r="K2" s="70"/>
    </row>
    <row r="3" spans="1:73" ht="15.95" customHeight="1" thickBot="1" x14ac:dyDescent="0.3">
      <c r="A3" s="69" t="s">
        <v>1</v>
      </c>
      <c r="B3" s="69"/>
      <c r="C3" s="69"/>
      <c r="D3" s="69"/>
      <c r="E3" s="70" t="s">
        <v>142</v>
      </c>
      <c r="F3" s="70"/>
      <c r="G3" s="70"/>
      <c r="H3" s="70"/>
      <c r="I3" s="70"/>
      <c r="J3" s="70"/>
      <c r="K3" s="70"/>
    </row>
    <row r="4" spans="1:73" ht="15.95" customHeight="1" thickBot="1" x14ac:dyDescent="0.3">
      <c r="A4" s="69" t="s">
        <v>24</v>
      </c>
      <c r="B4" s="69"/>
      <c r="C4" s="69"/>
      <c r="D4" s="69"/>
      <c r="E4" s="70">
        <v>212</v>
      </c>
      <c r="F4" s="70"/>
      <c r="G4" s="70"/>
      <c r="H4" s="70"/>
      <c r="I4" s="70"/>
      <c r="J4" s="70"/>
      <c r="K4" s="70"/>
    </row>
    <row r="5" spans="1:73" ht="32.1" customHeight="1" thickBot="1" x14ac:dyDescent="0.3">
      <c r="A5" s="80" t="s">
        <v>41</v>
      </c>
      <c r="B5" s="80"/>
      <c r="C5" s="80"/>
      <c r="D5" s="80"/>
      <c r="E5" s="81" t="s">
        <v>160</v>
      </c>
      <c r="F5" s="81"/>
      <c r="G5" s="81"/>
      <c r="H5" s="81"/>
      <c r="I5" s="81"/>
      <c r="J5" s="81"/>
      <c r="K5" s="81"/>
    </row>
    <row r="6" spans="1:73" ht="15.95" customHeight="1" thickBot="1" x14ac:dyDescent="0.3">
      <c r="A6" s="69" t="s">
        <v>26</v>
      </c>
      <c r="B6" s="69"/>
      <c r="C6" s="69"/>
      <c r="D6" s="69"/>
      <c r="E6" s="70" t="s">
        <v>38</v>
      </c>
      <c r="F6" s="70"/>
      <c r="G6" s="70"/>
      <c r="H6" s="70"/>
      <c r="I6" s="70"/>
      <c r="J6" s="70"/>
      <c r="K6" s="70"/>
    </row>
    <row r="7" spans="1:73" ht="30.95" customHeight="1" thickBot="1" x14ac:dyDescent="0.3">
      <c r="A7" s="3" t="s">
        <v>2</v>
      </c>
      <c r="B7" s="26" t="s">
        <v>52</v>
      </c>
      <c r="C7" s="26" t="s">
        <v>53</v>
      </c>
      <c r="D7" s="26" t="s">
        <v>54</v>
      </c>
      <c r="E7" s="26" t="s">
        <v>55</v>
      </c>
      <c r="F7" s="26" t="s">
        <v>56</v>
      </c>
      <c r="G7" s="26" t="s">
        <v>57</v>
      </c>
      <c r="H7" s="26" t="s">
        <v>58</v>
      </c>
      <c r="I7" s="26" t="s">
        <v>59</v>
      </c>
      <c r="J7" s="26" t="s">
        <v>60</v>
      </c>
      <c r="K7" s="26" t="s">
        <v>61</v>
      </c>
      <c r="L7" s="26" t="s">
        <v>62</v>
      </c>
      <c r="M7" s="26" t="s">
        <v>63</v>
      </c>
      <c r="N7" s="26" t="s">
        <v>64</v>
      </c>
      <c r="O7" s="26" t="s">
        <v>65</v>
      </c>
      <c r="P7" s="26" t="s">
        <v>66</v>
      </c>
      <c r="Q7" s="26" t="s">
        <v>67</v>
      </c>
      <c r="R7" s="26" t="s">
        <v>68</v>
      </c>
      <c r="S7" s="26" t="s">
        <v>69</v>
      </c>
      <c r="T7" s="26" t="s">
        <v>70</v>
      </c>
      <c r="U7" s="26" t="s">
        <v>71</v>
      </c>
      <c r="V7" s="26" t="s">
        <v>72</v>
      </c>
      <c r="W7" s="26" t="s">
        <v>73</v>
      </c>
      <c r="X7" s="26" t="s">
        <v>74</v>
      </c>
      <c r="Y7" s="26" t="s">
        <v>75</v>
      </c>
      <c r="Z7" s="26" t="s">
        <v>76</v>
      </c>
      <c r="AA7" s="26" t="s">
        <v>77</v>
      </c>
      <c r="AB7" s="26" t="s">
        <v>78</v>
      </c>
      <c r="AC7" s="26" t="s">
        <v>79</v>
      </c>
      <c r="AD7" s="26" t="s">
        <v>80</v>
      </c>
      <c r="AE7" s="26" t="s">
        <v>81</v>
      </c>
      <c r="AF7" s="26" t="s">
        <v>82</v>
      </c>
      <c r="AG7" s="26" t="s">
        <v>83</v>
      </c>
      <c r="AH7" s="26" t="s">
        <v>84</v>
      </c>
      <c r="AI7" s="26" t="s">
        <v>85</v>
      </c>
      <c r="AJ7" s="26" t="s">
        <v>86</v>
      </c>
      <c r="AK7" s="26" t="s">
        <v>87</v>
      </c>
      <c r="AL7" s="26" t="s">
        <v>88</v>
      </c>
      <c r="AM7" s="26" t="s">
        <v>89</v>
      </c>
      <c r="AN7" s="26" t="s">
        <v>90</v>
      </c>
      <c r="AO7" s="26" t="s">
        <v>91</v>
      </c>
      <c r="AP7" s="26" t="s">
        <v>92</v>
      </c>
      <c r="AQ7" s="26" t="s">
        <v>93</v>
      </c>
      <c r="AR7" s="26" t="s">
        <v>94</v>
      </c>
      <c r="AS7" s="26" t="s">
        <v>95</v>
      </c>
      <c r="AT7" s="26" t="s">
        <v>48</v>
      </c>
      <c r="AU7" s="26" t="s">
        <v>96</v>
      </c>
      <c r="AV7" s="26" t="s">
        <v>47</v>
      </c>
      <c r="AW7" s="26" t="s">
        <v>97</v>
      </c>
      <c r="AX7" s="26" t="s">
        <v>98</v>
      </c>
      <c r="AY7" s="26" t="s">
        <v>49</v>
      </c>
      <c r="AZ7" s="26" t="s">
        <v>44</v>
      </c>
      <c r="BA7" s="21"/>
      <c r="BB7" s="26"/>
      <c r="BC7" s="26"/>
      <c r="BD7" s="26"/>
      <c r="BE7" s="26"/>
      <c r="BF7" s="20"/>
      <c r="BG7" s="20"/>
      <c r="BH7" s="20"/>
      <c r="BI7" s="20"/>
      <c r="BJ7" s="20"/>
      <c r="BK7" s="20"/>
      <c r="BL7" s="20"/>
      <c r="BM7" s="20"/>
      <c r="BN7" s="20"/>
      <c r="BO7" s="20"/>
      <c r="BP7" s="20"/>
      <c r="BQ7" s="21"/>
      <c r="BR7" s="20"/>
      <c r="BS7" s="20"/>
      <c r="BT7" s="20"/>
      <c r="BU7" s="20"/>
    </row>
    <row r="8" spans="1:73" ht="30.95" customHeight="1" thickBot="1" x14ac:dyDescent="0.3">
      <c r="A8" s="3" t="s">
        <v>15</v>
      </c>
      <c r="B8" s="12">
        <v>20</v>
      </c>
      <c r="C8" s="12">
        <f>Table22681014[[#This Row],[Column2]]</f>
        <v>20</v>
      </c>
      <c r="D8" s="12">
        <f>Table22681014[[#This Row],[Column2]]</f>
        <v>20</v>
      </c>
      <c r="E8" s="12">
        <f>Table22681014[[#This Row],[Column2]]</f>
        <v>20</v>
      </c>
      <c r="F8" s="12">
        <f>Table22681014[[#This Row],[Column2]]</f>
        <v>20</v>
      </c>
      <c r="G8" s="12">
        <f>Table22681014[[#This Row],[Column2]]</f>
        <v>20</v>
      </c>
      <c r="H8" s="12">
        <f>Table22681014[[#This Row],[Column2]]</f>
        <v>20</v>
      </c>
      <c r="I8" s="12">
        <f>Table22681014[[#This Row],[Column2]]</f>
        <v>20</v>
      </c>
      <c r="J8" s="12">
        <f>Table22681014[[#This Row],[Column2]]</f>
        <v>20</v>
      </c>
      <c r="K8" s="12">
        <f>Table22681014[[#This Row],[Column2]]</f>
        <v>20</v>
      </c>
      <c r="L8" s="12">
        <f>Table22681014[[#This Row],[Column2]]</f>
        <v>20</v>
      </c>
      <c r="M8" s="12">
        <f>Table22681014[[#This Row],[Column2]]</f>
        <v>20</v>
      </c>
      <c r="N8" s="12">
        <f>Table22681014[[#This Row],[Column2]]</f>
        <v>20</v>
      </c>
      <c r="O8" s="12">
        <f>Table22681014[[#This Row],[Column2]]</f>
        <v>20</v>
      </c>
      <c r="P8" s="12">
        <f>Table22681014[[#This Row],[Column2]]</f>
        <v>20</v>
      </c>
      <c r="Q8" s="12">
        <f>Table22681014[[#This Row],[Column2]]</f>
        <v>20</v>
      </c>
      <c r="R8" s="20">
        <f>Table22681014[[#This Row],[Column17]]+38</f>
        <v>58</v>
      </c>
      <c r="S8" s="20">
        <f>Table22681014[[#This Row],[Column18]]</f>
        <v>58</v>
      </c>
      <c r="T8" s="20">
        <f>Table22681014[[#This Row],[Column18]]</f>
        <v>58</v>
      </c>
      <c r="U8" s="20">
        <f>Table22681014[[#This Row],[Column18]]</f>
        <v>58</v>
      </c>
      <c r="V8" s="20">
        <f>Table22681014[[#This Row],[Column18]]</f>
        <v>58</v>
      </c>
      <c r="W8" s="20">
        <f>Table22681014[[#This Row],[Column18]]</f>
        <v>58</v>
      </c>
      <c r="X8" s="20">
        <f>Table22681014[[#This Row],[Column18]]</f>
        <v>58</v>
      </c>
      <c r="Y8" s="20">
        <f>Table22681014[[#This Row],[Column24]]+16</f>
        <v>74</v>
      </c>
      <c r="Z8" s="20">
        <f>Table22681014[[#This Row],[Column25]]+25</f>
        <v>99</v>
      </c>
      <c r="AA8" s="20">
        <f>Table22681014[[#This Row],[Column26]]</f>
        <v>99</v>
      </c>
      <c r="AB8" s="20">
        <f>Table22681014[[#This Row],[Column26]]</f>
        <v>99</v>
      </c>
      <c r="AC8" s="20">
        <f>Table22681014[[#This Row],[Column26]]</f>
        <v>99</v>
      </c>
      <c r="AD8" s="20">
        <f>Table22681014[[#This Row],[Column26]]</f>
        <v>99</v>
      </c>
      <c r="AE8" s="20">
        <f>Table22681014[[#This Row],[Column26]]</f>
        <v>99</v>
      </c>
      <c r="AF8" s="20">
        <f>Table22681014[[#This Row],[Column26]]</f>
        <v>99</v>
      </c>
      <c r="AG8" s="20">
        <f>Table22681014[[#This Row],[Column26]]</f>
        <v>99</v>
      </c>
      <c r="AH8" s="20">
        <f>Table22681014[[#This Row],[Column26]]</f>
        <v>99</v>
      </c>
      <c r="AI8" s="20">
        <f>Table22681014[[#This Row],[Column26]]</f>
        <v>99</v>
      </c>
      <c r="AJ8" s="20">
        <f>Table22681014[[#This Row],[Column35]]+35</f>
        <v>134</v>
      </c>
      <c r="AK8" s="20">
        <f>Table22681014[[#This Row],[Column36]]</f>
        <v>134</v>
      </c>
      <c r="AL8" s="20">
        <f>Table22681014[[#This Row],[Column36]]</f>
        <v>134</v>
      </c>
      <c r="AM8" s="20">
        <f>Table22681014[[#This Row],[Column36]]</f>
        <v>134</v>
      </c>
      <c r="AN8" s="20">
        <f>Table22681014[[#This Row],[Column36]]</f>
        <v>134</v>
      </c>
      <c r="AO8" s="20">
        <f>Table22681014[[#This Row],[Column36]]</f>
        <v>134</v>
      </c>
      <c r="AP8" s="20">
        <f>Table22681014[[#This Row],[Column36]]</f>
        <v>134</v>
      </c>
      <c r="AQ8" s="20">
        <f>Table22681014[[#This Row],[Column36]]</f>
        <v>134</v>
      </c>
      <c r="AR8" s="20">
        <f>Table22681014[[#This Row],[Column36]]</f>
        <v>134</v>
      </c>
      <c r="AS8" s="20">
        <f>Table22681014[[#This Row],[Column36]]</f>
        <v>134</v>
      </c>
      <c r="AT8" s="20">
        <f>Table22681014[[#This Row],[Column45]]+19</f>
        <v>153</v>
      </c>
      <c r="AU8" s="20">
        <f>Table22681014[[#This Row],[Column46]]</f>
        <v>153</v>
      </c>
      <c r="AV8" s="20">
        <f>Table22681014[[#This Row],[Column46]]</f>
        <v>153</v>
      </c>
      <c r="AW8" s="20">
        <f>Table22681014[[#This Row],[Column46]]</f>
        <v>153</v>
      </c>
      <c r="AX8" s="21">
        <f>Table22681014[[#This Row],[Column49]]+15</f>
        <v>168</v>
      </c>
      <c r="AY8" s="20">
        <f>Table22681014[[#This Row],[Column50]]+21</f>
        <v>189</v>
      </c>
      <c r="AZ8" s="20">
        <f>Table22681014[[#This Row],[Column51]]+23</f>
        <v>212</v>
      </c>
      <c r="BA8" s="20"/>
      <c r="BB8" s="20"/>
      <c r="BC8" s="20"/>
      <c r="BD8" s="20"/>
      <c r="BE8" s="20"/>
      <c r="BF8" s="20"/>
      <c r="BG8" s="20"/>
      <c r="BH8" s="20"/>
      <c r="BI8" s="20"/>
      <c r="BJ8" s="20"/>
      <c r="BK8" s="20"/>
      <c r="BL8" s="20"/>
      <c r="BM8" s="20"/>
      <c r="BN8" s="20"/>
      <c r="BO8" s="20"/>
      <c r="BP8" s="20"/>
      <c r="BQ8" s="21"/>
      <c r="BR8" s="20"/>
      <c r="BS8" s="20"/>
      <c r="BT8" s="20"/>
      <c r="BU8" s="20"/>
    </row>
    <row r="9" spans="1:73" ht="30.95" customHeight="1" thickBot="1" x14ac:dyDescent="0.3">
      <c r="A9" s="4" t="s">
        <v>3</v>
      </c>
      <c r="B9" s="26" t="s">
        <v>57</v>
      </c>
      <c r="C9" s="26" t="s">
        <v>58</v>
      </c>
      <c r="D9" s="26" t="s">
        <v>59</v>
      </c>
      <c r="E9" s="26" t="s">
        <v>60</v>
      </c>
      <c r="F9" s="26" t="s">
        <v>61</v>
      </c>
      <c r="G9" s="26" t="s">
        <v>62</v>
      </c>
      <c r="H9" s="26" t="s">
        <v>63</v>
      </c>
      <c r="I9" s="26" t="s">
        <v>64</v>
      </c>
      <c r="J9" s="26" t="s">
        <v>65</v>
      </c>
      <c r="K9" s="26" t="s">
        <v>66</v>
      </c>
      <c r="L9" s="26" t="s">
        <v>67</v>
      </c>
      <c r="M9" s="26" t="s">
        <v>68</v>
      </c>
      <c r="N9" s="26" t="s">
        <v>69</v>
      </c>
      <c r="O9" s="26" t="s">
        <v>70</v>
      </c>
      <c r="P9" s="26" t="s">
        <v>71</v>
      </c>
      <c r="Q9" s="26" t="s">
        <v>72</v>
      </c>
      <c r="R9" s="26" t="s">
        <v>73</v>
      </c>
      <c r="S9" s="26" t="s">
        <v>74</v>
      </c>
      <c r="T9" s="26" t="s">
        <v>75</v>
      </c>
      <c r="U9" s="26" t="s">
        <v>76</v>
      </c>
      <c r="V9" s="26" t="s">
        <v>77</v>
      </c>
      <c r="W9" s="26" t="s">
        <v>78</v>
      </c>
      <c r="X9" s="26" t="s">
        <v>79</v>
      </c>
      <c r="Y9" s="26" t="s">
        <v>80</v>
      </c>
      <c r="Z9" s="26" t="s">
        <v>81</v>
      </c>
      <c r="AA9" s="26" t="s">
        <v>82</v>
      </c>
      <c r="AB9" s="26" t="s">
        <v>83</v>
      </c>
      <c r="AC9" s="26" t="s">
        <v>84</v>
      </c>
      <c r="AD9" s="26" t="s">
        <v>85</v>
      </c>
      <c r="AE9" s="26" t="s">
        <v>86</v>
      </c>
      <c r="AF9" s="26" t="s">
        <v>87</v>
      </c>
      <c r="AG9" s="26" t="s">
        <v>88</v>
      </c>
      <c r="AH9" s="26" t="s">
        <v>89</v>
      </c>
      <c r="AI9" s="26" t="s">
        <v>90</v>
      </c>
      <c r="AJ9" s="26" t="s">
        <v>91</v>
      </c>
      <c r="AK9" s="26" t="s">
        <v>92</v>
      </c>
      <c r="AL9" s="26" t="s">
        <v>93</v>
      </c>
      <c r="AM9" s="26" t="s">
        <v>94</v>
      </c>
      <c r="AN9" s="26" t="s">
        <v>95</v>
      </c>
      <c r="AO9" s="26" t="s">
        <v>48</v>
      </c>
      <c r="AP9" s="26" t="s">
        <v>96</v>
      </c>
      <c r="AQ9" s="26" t="s">
        <v>47</v>
      </c>
      <c r="AR9" s="26" t="s">
        <v>97</v>
      </c>
      <c r="AS9" s="26" t="s">
        <v>98</v>
      </c>
      <c r="AT9" s="26" t="s">
        <v>49</v>
      </c>
      <c r="AU9" s="26" t="s">
        <v>44</v>
      </c>
      <c r="AV9" s="26" t="s">
        <v>99</v>
      </c>
      <c r="AW9" s="26" t="s">
        <v>45</v>
      </c>
      <c r="AX9" s="26" t="s">
        <v>100</v>
      </c>
      <c r="AY9" s="26" t="s">
        <v>101</v>
      </c>
      <c r="AZ9" s="26" t="s">
        <v>102</v>
      </c>
      <c r="BA9" s="26" t="s">
        <v>103</v>
      </c>
      <c r="BB9" s="26" t="s">
        <v>104</v>
      </c>
      <c r="BC9" s="26" t="s">
        <v>105</v>
      </c>
      <c r="BD9" s="26" t="s">
        <v>50</v>
      </c>
      <c r="BE9" s="26" t="s">
        <v>106</v>
      </c>
      <c r="BF9" s="26" t="s">
        <v>107</v>
      </c>
      <c r="BG9" s="26" t="s">
        <v>108</v>
      </c>
      <c r="BH9" s="26" t="s">
        <v>109</v>
      </c>
      <c r="BI9" s="26" t="s">
        <v>110</v>
      </c>
      <c r="BJ9" s="26" t="s">
        <v>111</v>
      </c>
      <c r="BK9" s="26" t="s">
        <v>112</v>
      </c>
      <c r="BL9" s="26" t="s">
        <v>46</v>
      </c>
      <c r="BM9" s="26" t="s">
        <v>113</v>
      </c>
      <c r="BN9" s="26" t="s">
        <v>114</v>
      </c>
      <c r="BO9" s="26" t="s">
        <v>115</v>
      </c>
      <c r="BP9" s="26" t="s">
        <v>116</v>
      </c>
      <c r="BQ9" s="26" t="s">
        <v>148</v>
      </c>
      <c r="BR9" s="26" t="s">
        <v>149</v>
      </c>
      <c r="BS9" s="26" t="s">
        <v>51</v>
      </c>
      <c r="BT9" s="26" t="s">
        <v>150</v>
      </c>
      <c r="BU9" s="26" t="s">
        <v>151</v>
      </c>
    </row>
    <row r="10" spans="1:73" ht="30.75" thickBot="1" x14ac:dyDescent="0.3">
      <c r="A10" s="1" t="s">
        <v>4</v>
      </c>
      <c r="B10" s="85" t="s">
        <v>5</v>
      </c>
      <c r="C10" s="86"/>
      <c r="D10" s="86"/>
      <c r="E10" s="86"/>
      <c r="F10" s="86"/>
      <c r="G10" s="86"/>
      <c r="H10" s="86"/>
      <c r="I10" s="86"/>
      <c r="J10" s="86"/>
      <c r="K10" s="87"/>
    </row>
    <row r="11" spans="1:73" ht="15.75" thickBot="1" x14ac:dyDescent="0.3">
      <c r="A11" s="5" t="s">
        <v>11</v>
      </c>
      <c r="B11" s="15">
        <v>20</v>
      </c>
      <c r="C11" s="15">
        <v>20</v>
      </c>
      <c r="D11" s="15">
        <v>20</v>
      </c>
      <c r="E11" s="15">
        <v>20</v>
      </c>
      <c r="F11" s="15">
        <v>20</v>
      </c>
      <c r="G11" s="15">
        <v>20</v>
      </c>
      <c r="H11" s="15">
        <v>20</v>
      </c>
      <c r="I11" s="15">
        <v>20</v>
      </c>
      <c r="J11" s="15">
        <v>20</v>
      </c>
      <c r="K11" s="15">
        <v>20</v>
      </c>
      <c r="L11" s="15">
        <v>20</v>
      </c>
      <c r="M11" s="15">
        <v>20</v>
      </c>
      <c r="N11" s="15">
        <v>20</v>
      </c>
      <c r="O11" s="15">
        <v>20</v>
      </c>
      <c r="P11" s="15">
        <v>20</v>
      </c>
      <c r="Q11" s="15">
        <v>20</v>
      </c>
      <c r="R11" s="19">
        <v>58</v>
      </c>
      <c r="S11" s="15">
        <v>58</v>
      </c>
      <c r="T11" s="15">
        <v>58</v>
      </c>
      <c r="U11" s="15">
        <v>58</v>
      </c>
      <c r="V11" s="15">
        <v>58</v>
      </c>
      <c r="W11" s="15">
        <v>58</v>
      </c>
      <c r="X11" s="15">
        <v>58</v>
      </c>
      <c r="Y11" s="19">
        <v>74</v>
      </c>
      <c r="Z11" s="19">
        <v>99</v>
      </c>
      <c r="AA11" s="15">
        <v>99</v>
      </c>
      <c r="AB11" s="15">
        <v>99</v>
      </c>
      <c r="AC11" s="15">
        <v>99</v>
      </c>
      <c r="AD11" s="15">
        <v>99</v>
      </c>
      <c r="AE11" s="15">
        <v>99</v>
      </c>
      <c r="AF11" s="15">
        <v>99</v>
      </c>
      <c r="AG11" s="15">
        <v>99</v>
      </c>
      <c r="AH11" s="15">
        <v>99</v>
      </c>
      <c r="AI11" s="15">
        <v>99</v>
      </c>
      <c r="AJ11" s="19">
        <v>134</v>
      </c>
      <c r="AK11" s="15">
        <v>134</v>
      </c>
      <c r="AL11" s="15">
        <v>134</v>
      </c>
      <c r="AM11" s="15">
        <v>134</v>
      </c>
      <c r="AN11" s="15">
        <v>134</v>
      </c>
      <c r="AO11" s="15">
        <v>134</v>
      </c>
      <c r="AP11" s="15">
        <v>134</v>
      </c>
      <c r="AQ11" s="15">
        <v>134</v>
      </c>
      <c r="AR11" s="15">
        <v>134</v>
      </c>
      <c r="AS11" s="15">
        <v>134</v>
      </c>
      <c r="AT11" s="19">
        <v>153</v>
      </c>
      <c r="AU11" s="15">
        <v>153</v>
      </c>
      <c r="AV11" s="15">
        <v>153</v>
      </c>
      <c r="AW11" s="15">
        <v>153</v>
      </c>
      <c r="AX11" s="19">
        <v>168</v>
      </c>
      <c r="AY11" s="19">
        <v>189</v>
      </c>
      <c r="AZ11" s="19">
        <v>212</v>
      </c>
      <c r="BA11" s="19"/>
      <c r="BB11" s="19"/>
      <c r="BC11" s="19"/>
      <c r="BD11" s="19"/>
      <c r="BE11" s="19"/>
      <c r="BF11" s="19"/>
      <c r="BG11" s="19"/>
      <c r="BH11" s="19"/>
      <c r="BI11" s="19"/>
      <c r="BJ11" s="19"/>
      <c r="BK11" s="19"/>
      <c r="BL11" s="19"/>
      <c r="BM11" s="19"/>
      <c r="BN11" s="19"/>
      <c r="BO11" s="19"/>
      <c r="BP11" s="19"/>
      <c r="BQ11" s="19"/>
      <c r="BR11" s="19"/>
      <c r="BS11" s="19"/>
      <c r="BT11" s="19"/>
      <c r="BU11" s="19"/>
    </row>
    <row r="12" spans="1:73" ht="15.75" thickBot="1" x14ac:dyDescent="0.3">
      <c r="A12" s="5" t="s">
        <v>13</v>
      </c>
      <c r="B12" s="15"/>
      <c r="C12" s="15">
        <v>20</v>
      </c>
      <c r="D12" s="15">
        <v>20</v>
      </c>
      <c r="E12" s="15">
        <v>20</v>
      </c>
      <c r="F12" s="15">
        <v>20</v>
      </c>
      <c r="G12" s="15">
        <v>20</v>
      </c>
      <c r="H12" s="15">
        <v>20</v>
      </c>
      <c r="I12" s="15">
        <v>20</v>
      </c>
      <c r="J12" s="15">
        <v>20</v>
      </c>
      <c r="K12" s="15">
        <v>20</v>
      </c>
      <c r="L12" s="15">
        <v>20</v>
      </c>
      <c r="M12" s="15">
        <v>20</v>
      </c>
      <c r="N12" s="15">
        <v>20</v>
      </c>
      <c r="O12" s="15">
        <v>20</v>
      </c>
      <c r="P12" s="15">
        <v>20</v>
      </c>
      <c r="Q12" s="15">
        <v>20</v>
      </c>
      <c r="R12" s="15">
        <v>20</v>
      </c>
      <c r="S12" s="15">
        <v>58</v>
      </c>
      <c r="T12" s="15">
        <v>58</v>
      </c>
      <c r="U12" s="15">
        <v>58</v>
      </c>
      <c r="V12" s="15">
        <v>58</v>
      </c>
      <c r="W12" s="15">
        <v>58</v>
      </c>
      <c r="X12" s="15">
        <v>58</v>
      </c>
      <c r="Y12" s="15">
        <v>58</v>
      </c>
      <c r="Z12" s="15">
        <v>74</v>
      </c>
      <c r="AA12" s="15">
        <v>99</v>
      </c>
      <c r="AB12" s="15">
        <v>99</v>
      </c>
      <c r="AC12" s="15">
        <v>99</v>
      </c>
      <c r="AD12" s="15">
        <v>99</v>
      </c>
      <c r="AE12" s="15">
        <v>99</v>
      </c>
      <c r="AF12" s="15">
        <v>99</v>
      </c>
      <c r="AG12" s="15">
        <v>99</v>
      </c>
      <c r="AH12" s="15">
        <v>99</v>
      </c>
      <c r="AI12" s="15">
        <v>99</v>
      </c>
      <c r="AJ12" s="15">
        <v>99</v>
      </c>
      <c r="AK12" s="15">
        <v>134</v>
      </c>
      <c r="AL12" s="15">
        <v>134</v>
      </c>
      <c r="AM12" s="15">
        <v>134</v>
      </c>
      <c r="AN12" s="15">
        <v>134</v>
      </c>
      <c r="AO12" s="15">
        <v>134</v>
      </c>
      <c r="AP12" s="15">
        <v>134</v>
      </c>
      <c r="AQ12" s="15">
        <v>134</v>
      </c>
      <c r="AR12" s="15">
        <v>134</v>
      </c>
      <c r="AS12" s="15">
        <v>134</v>
      </c>
      <c r="AT12" s="15">
        <v>134</v>
      </c>
      <c r="AU12" s="15">
        <v>153</v>
      </c>
      <c r="AV12" s="15">
        <v>153</v>
      </c>
      <c r="AW12" s="15">
        <v>153</v>
      </c>
      <c r="AX12" s="15">
        <v>153</v>
      </c>
      <c r="AY12" s="19">
        <v>168</v>
      </c>
      <c r="AZ12" s="19">
        <v>189</v>
      </c>
      <c r="BA12" s="19">
        <v>212</v>
      </c>
      <c r="BB12" s="15"/>
      <c r="BC12" s="15"/>
      <c r="BD12" s="15"/>
      <c r="BE12" s="15"/>
      <c r="BF12" s="15"/>
      <c r="BG12" s="15"/>
      <c r="BH12" s="15"/>
      <c r="BI12" s="15"/>
      <c r="BJ12" s="15"/>
      <c r="BK12" s="15"/>
      <c r="BL12" s="15"/>
      <c r="BM12" s="15"/>
      <c r="BN12" s="15"/>
      <c r="BO12" s="15"/>
      <c r="BP12" s="15"/>
      <c r="BQ12" s="15"/>
      <c r="BR12" s="15"/>
      <c r="BS12" s="15"/>
      <c r="BT12" s="15"/>
      <c r="BU12" s="15"/>
    </row>
    <row r="13" spans="1:73" ht="15.75" thickBot="1" x14ac:dyDescent="0.3">
      <c r="A13" s="5" t="s">
        <v>16</v>
      </c>
      <c r="B13" s="15"/>
      <c r="C13" s="15">
        <v>20</v>
      </c>
      <c r="D13" s="15">
        <v>20</v>
      </c>
      <c r="E13" s="15">
        <v>20</v>
      </c>
      <c r="F13" s="15">
        <v>20</v>
      </c>
      <c r="G13" s="15">
        <v>20</v>
      </c>
      <c r="H13" s="15">
        <v>20</v>
      </c>
      <c r="I13" s="15">
        <v>20</v>
      </c>
      <c r="J13" s="15">
        <v>20</v>
      </c>
      <c r="K13" s="16">
        <v>20</v>
      </c>
      <c r="L13" s="15">
        <v>20</v>
      </c>
      <c r="M13" s="15">
        <v>20</v>
      </c>
      <c r="N13" s="15">
        <v>20</v>
      </c>
      <c r="O13" s="15">
        <v>20</v>
      </c>
      <c r="P13" s="15">
        <v>20</v>
      </c>
      <c r="Q13" s="15">
        <v>20</v>
      </c>
      <c r="R13" s="15">
        <v>20</v>
      </c>
      <c r="S13" s="15">
        <v>58</v>
      </c>
      <c r="T13" s="15">
        <v>58</v>
      </c>
      <c r="U13" s="15">
        <v>58</v>
      </c>
      <c r="V13" s="15">
        <v>58</v>
      </c>
      <c r="W13" s="15">
        <v>58</v>
      </c>
      <c r="X13" s="15">
        <v>58</v>
      </c>
      <c r="Y13" s="15">
        <v>58</v>
      </c>
      <c r="Z13" s="15">
        <v>74</v>
      </c>
      <c r="AA13" s="15">
        <v>99</v>
      </c>
      <c r="AB13" s="15">
        <v>99</v>
      </c>
      <c r="AC13" s="15">
        <v>99</v>
      </c>
      <c r="AD13" s="15">
        <v>99</v>
      </c>
      <c r="AE13" s="15">
        <v>99</v>
      </c>
      <c r="AF13" s="15">
        <v>99</v>
      </c>
      <c r="AG13" s="15">
        <v>99</v>
      </c>
      <c r="AH13" s="15">
        <v>99</v>
      </c>
      <c r="AI13" s="15">
        <v>99</v>
      </c>
      <c r="AJ13" s="15">
        <v>99</v>
      </c>
      <c r="AK13" s="15">
        <v>134</v>
      </c>
      <c r="AL13" s="15">
        <v>134</v>
      </c>
      <c r="AM13" s="15">
        <v>134</v>
      </c>
      <c r="AN13" s="15">
        <v>134</v>
      </c>
      <c r="AO13" s="15">
        <v>134</v>
      </c>
      <c r="AP13" s="15">
        <v>134</v>
      </c>
      <c r="AQ13" s="15">
        <v>134</v>
      </c>
      <c r="AR13" s="15">
        <v>134</v>
      </c>
      <c r="AS13" s="15">
        <v>134</v>
      </c>
      <c r="AT13" s="15">
        <v>134</v>
      </c>
      <c r="AU13" s="15">
        <v>153</v>
      </c>
      <c r="AV13" s="15">
        <v>153</v>
      </c>
      <c r="AW13" s="15">
        <v>153</v>
      </c>
      <c r="AX13" s="15">
        <v>153</v>
      </c>
      <c r="AY13" s="15">
        <v>168</v>
      </c>
      <c r="AZ13" s="15">
        <v>189</v>
      </c>
      <c r="BA13" s="15">
        <v>212</v>
      </c>
      <c r="BB13" s="15"/>
      <c r="BC13" s="15"/>
      <c r="BD13" s="15"/>
      <c r="BE13" s="15"/>
      <c r="BF13" s="15"/>
      <c r="BG13" s="15"/>
      <c r="BH13" s="15"/>
      <c r="BI13" s="15"/>
      <c r="BJ13" s="15"/>
      <c r="BK13" s="15"/>
      <c r="BL13" s="15"/>
      <c r="BM13" s="15"/>
      <c r="BN13" s="15"/>
      <c r="BO13" s="15"/>
      <c r="BP13" s="15"/>
      <c r="BQ13" s="15"/>
      <c r="BR13" s="15"/>
      <c r="BS13" s="15"/>
      <c r="BT13" s="15"/>
      <c r="BU13" s="15"/>
    </row>
    <row r="14" spans="1:73" ht="15.75" thickBot="1" x14ac:dyDescent="0.3">
      <c r="A14" s="5" t="s">
        <v>42</v>
      </c>
      <c r="B14" s="15"/>
      <c r="C14" s="15"/>
      <c r="D14" s="17"/>
      <c r="E14" s="17"/>
      <c r="F14" s="17"/>
      <c r="G14" s="17"/>
      <c r="H14" s="17"/>
      <c r="I14" s="17"/>
      <c r="J14" s="17"/>
      <c r="K14" s="18"/>
      <c r="L14" s="17"/>
      <c r="M14" s="17"/>
      <c r="N14" s="17"/>
      <c r="O14" s="17"/>
      <c r="P14" s="17"/>
      <c r="Q14" s="17"/>
      <c r="R14" s="17">
        <v>20</v>
      </c>
      <c r="S14" s="17">
        <v>20</v>
      </c>
      <c r="T14" s="17">
        <v>20</v>
      </c>
      <c r="U14" s="17">
        <v>20</v>
      </c>
      <c r="V14" s="17">
        <v>20</v>
      </c>
      <c r="W14" s="17">
        <v>20</v>
      </c>
      <c r="X14" s="17">
        <v>20</v>
      </c>
      <c r="Y14" s="17">
        <v>20</v>
      </c>
      <c r="Z14" s="17">
        <v>20</v>
      </c>
      <c r="AA14" s="17">
        <v>20</v>
      </c>
      <c r="AB14" s="17">
        <v>20</v>
      </c>
      <c r="AC14" s="17">
        <v>20</v>
      </c>
      <c r="AD14" s="17">
        <v>20</v>
      </c>
      <c r="AE14" s="17">
        <v>20</v>
      </c>
      <c r="AF14" s="17">
        <v>20</v>
      </c>
      <c r="AG14" s="17">
        <v>20</v>
      </c>
      <c r="AH14" s="17">
        <v>58</v>
      </c>
      <c r="AI14" s="17">
        <v>58</v>
      </c>
      <c r="AJ14" s="17">
        <v>58</v>
      </c>
      <c r="AK14" s="17">
        <v>58</v>
      </c>
      <c r="AL14" s="17">
        <v>58</v>
      </c>
      <c r="AM14" s="17">
        <v>58</v>
      </c>
      <c r="AN14" s="17">
        <v>58</v>
      </c>
      <c r="AO14" s="17">
        <v>74</v>
      </c>
      <c r="AP14" s="17">
        <v>99</v>
      </c>
      <c r="AQ14" s="17">
        <v>99</v>
      </c>
      <c r="AR14" s="17">
        <v>99</v>
      </c>
      <c r="AS14" s="17">
        <v>99</v>
      </c>
      <c r="AT14" s="17">
        <v>99</v>
      </c>
      <c r="AU14" s="17">
        <v>99</v>
      </c>
      <c r="AV14" s="17">
        <v>99</v>
      </c>
      <c r="AW14" s="17">
        <v>99</v>
      </c>
      <c r="AX14" s="17">
        <v>99</v>
      </c>
      <c r="AY14" s="17">
        <v>99</v>
      </c>
      <c r="AZ14" s="17">
        <v>134</v>
      </c>
      <c r="BA14" s="17">
        <v>134</v>
      </c>
      <c r="BB14" s="17">
        <v>134</v>
      </c>
      <c r="BC14" s="17">
        <v>134</v>
      </c>
      <c r="BD14" s="17">
        <v>134</v>
      </c>
      <c r="BE14" s="17">
        <v>134</v>
      </c>
      <c r="BF14" s="17">
        <v>134</v>
      </c>
      <c r="BG14" s="17">
        <v>134</v>
      </c>
      <c r="BH14" s="17">
        <v>134</v>
      </c>
      <c r="BI14" s="17">
        <v>134</v>
      </c>
      <c r="BJ14" s="17">
        <v>153</v>
      </c>
      <c r="BK14" s="17">
        <v>153</v>
      </c>
      <c r="BL14" s="17">
        <v>153</v>
      </c>
      <c r="BM14" s="17">
        <v>153</v>
      </c>
      <c r="BN14" s="17">
        <v>168</v>
      </c>
      <c r="BO14" s="17">
        <v>189</v>
      </c>
      <c r="BP14" s="17">
        <v>212</v>
      </c>
      <c r="BQ14" s="15"/>
      <c r="BR14" s="15"/>
      <c r="BS14" s="15"/>
      <c r="BT14" s="15"/>
      <c r="BU14" s="15"/>
    </row>
    <row r="15" spans="1:73" ht="15.75" thickBot="1" x14ac:dyDescent="0.3">
      <c r="A15" s="5" t="s">
        <v>146</v>
      </c>
      <c r="B15" s="15"/>
      <c r="C15" s="15"/>
      <c r="D15" s="15"/>
      <c r="E15" s="15"/>
      <c r="F15" s="15"/>
      <c r="G15" s="15"/>
      <c r="H15" s="15"/>
      <c r="I15" s="15"/>
      <c r="J15" s="15"/>
      <c r="K15" s="15"/>
      <c r="L15" s="15"/>
      <c r="M15" s="15"/>
      <c r="N15" s="15"/>
      <c r="O15" s="15"/>
      <c r="P15" s="15"/>
      <c r="Q15" s="15"/>
      <c r="R15" s="15"/>
      <c r="S15" s="15"/>
      <c r="T15" s="15"/>
      <c r="U15" s="15"/>
      <c r="V15" s="15"/>
      <c r="W15" s="15">
        <v>20</v>
      </c>
      <c r="X15" s="17">
        <v>20</v>
      </c>
      <c r="Y15" s="17">
        <v>20</v>
      </c>
      <c r="Z15" s="17">
        <v>20</v>
      </c>
      <c r="AA15" s="17">
        <v>20</v>
      </c>
      <c r="AB15" s="17">
        <v>20</v>
      </c>
      <c r="AC15" s="17">
        <v>20</v>
      </c>
      <c r="AD15" s="17">
        <v>20</v>
      </c>
      <c r="AE15" s="17">
        <v>20</v>
      </c>
      <c r="AF15" s="17">
        <v>20</v>
      </c>
      <c r="AG15" s="17">
        <v>20</v>
      </c>
      <c r="AH15" s="17">
        <v>20</v>
      </c>
      <c r="AI15" s="17">
        <v>20</v>
      </c>
      <c r="AJ15" s="17">
        <v>20</v>
      </c>
      <c r="AK15" s="17">
        <v>20</v>
      </c>
      <c r="AL15" s="17">
        <v>20</v>
      </c>
      <c r="AM15" s="17">
        <v>58</v>
      </c>
      <c r="AN15" s="17">
        <v>58</v>
      </c>
      <c r="AO15" s="17">
        <v>58</v>
      </c>
      <c r="AP15" s="17">
        <v>58</v>
      </c>
      <c r="AQ15" s="17">
        <v>58</v>
      </c>
      <c r="AR15" s="17">
        <v>58</v>
      </c>
      <c r="AS15" s="17">
        <v>58</v>
      </c>
      <c r="AT15" s="17">
        <v>74</v>
      </c>
      <c r="AU15" s="17">
        <v>99</v>
      </c>
      <c r="AV15" s="17">
        <v>99</v>
      </c>
      <c r="AW15" s="17">
        <v>99</v>
      </c>
      <c r="AX15" s="17">
        <v>99</v>
      </c>
      <c r="AY15" s="17">
        <v>99</v>
      </c>
      <c r="AZ15" s="17">
        <v>99</v>
      </c>
      <c r="BA15" s="17">
        <v>99</v>
      </c>
      <c r="BB15" s="17">
        <v>99</v>
      </c>
      <c r="BC15" s="17">
        <v>99</v>
      </c>
      <c r="BD15" s="17">
        <v>99</v>
      </c>
      <c r="BE15" s="17">
        <v>134</v>
      </c>
      <c r="BF15" s="17">
        <v>134</v>
      </c>
      <c r="BG15" s="17">
        <v>134</v>
      </c>
      <c r="BH15" s="17">
        <v>134</v>
      </c>
      <c r="BI15" s="17">
        <v>134</v>
      </c>
      <c r="BJ15" s="17">
        <v>134</v>
      </c>
      <c r="BK15" s="17">
        <v>134</v>
      </c>
      <c r="BL15" s="17">
        <v>134</v>
      </c>
      <c r="BM15" s="17">
        <v>134</v>
      </c>
      <c r="BN15" s="17">
        <v>134</v>
      </c>
      <c r="BO15" s="17">
        <v>153</v>
      </c>
      <c r="BP15" s="17">
        <v>153</v>
      </c>
      <c r="BQ15" s="17">
        <v>153</v>
      </c>
      <c r="BR15" s="17">
        <v>153</v>
      </c>
      <c r="BS15" s="17">
        <v>168</v>
      </c>
      <c r="BT15" s="17">
        <v>189</v>
      </c>
      <c r="BU15" s="17">
        <v>212</v>
      </c>
    </row>
    <row r="16" spans="1:73" x14ac:dyDescent="0.25">
      <c r="A16"/>
    </row>
    <row r="17" spans="1:11" ht="15.75" thickBot="1" x14ac:dyDescent="0.3"/>
    <row r="18" spans="1:11" x14ac:dyDescent="0.25">
      <c r="A18" s="82" t="s">
        <v>20</v>
      </c>
      <c r="B18" s="83"/>
      <c r="C18" s="83"/>
      <c r="D18" s="83"/>
      <c r="E18" s="83"/>
      <c r="F18" s="83"/>
      <c r="G18" s="83"/>
      <c r="H18" s="83"/>
      <c r="I18" s="83"/>
      <c r="J18" s="83"/>
      <c r="K18" s="84"/>
    </row>
    <row r="19" spans="1:11" x14ac:dyDescent="0.25">
      <c r="A19" s="74" t="s">
        <v>21</v>
      </c>
      <c r="B19" s="75"/>
      <c r="C19" s="75"/>
      <c r="D19" s="75"/>
      <c r="E19" s="75"/>
      <c r="F19" s="75"/>
      <c r="G19" s="75"/>
      <c r="H19" s="75"/>
      <c r="I19" s="75"/>
      <c r="J19" s="75"/>
      <c r="K19" s="76"/>
    </row>
    <row r="20" spans="1:11" x14ac:dyDescent="0.25">
      <c r="A20" s="74" t="s">
        <v>22</v>
      </c>
      <c r="B20" s="75"/>
      <c r="C20" s="75"/>
      <c r="D20" s="75"/>
      <c r="E20" s="75"/>
      <c r="F20" s="75"/>
      <c r="G20" s="75"/>
      <c r="H20" s="75"/>
      <c r="I20" s="75"/>
      <c r="J20" s="75"/>
      <c r="K20" s="76"/>
    </row>
    <row r="21" spans="1:11" ht="15.75" thickBot="1" x14ac:dyDescent="0.3">
      <c r="A21" s="77" t="s">
        <v>23</v>
      </c>
      <c r="B21" s="78"/>
      <c r="C21" s="78"/>
      <c r="D21" s="78"/>
      <c r="E21" s="78"/>
      <c r="F21" s="78"/>
      <c r="G21" s="78"/>
      <c r="H21" s="78"/>
      <c r="I21" s="78"/>
      <c r="J21" s="78"/>
      <c r="K21" s="79"/>
    </row>
  </sheetData>
  <mergeCells count="16">
    <mergeCell ref="A19:K19"/>
    <mergeCell ref="A20:K20"/>
    <mergeCell ref="A21:K21"/>
    <mergeCell ref="A5:D5"/>
    <mergeCell ref="E5:K5"/>
    <mergeCell ref="A6:D6"/>
    <mergeCell ref="E6:K6"/>
    <mergeCell ref="B10:K10"/>
    <mergeCell ref="A18:K18"/>
    <mergeCell ref="A4:D4"/>
    <mergeCell ref="E4:K4"/>
    <mergeCell ref="A1:K1"/>
    <mergeCell ref="A2:D2"/>
    <mergeCell ref="E2:K2"/>
    <mergeCell ref="A3:D3"/>
    <mergeCell ref="E3:K3"/>
  </mergeCells>
  <phoneticPr fontId="4" type="noConversion"/>
  <conditionalFormatting sqref="B9:U9">
    <cfRule type="containsText" dxfId="3" priority="4" operator="containsText" text="10/12/xxxx">
      <formula>NOT(ISERROR(SEARCH("10/12/xxxx",B9)))</formula>
    </cfRule>
  </conditionalFormatting>
  <conditionalFormatting sqref="B7:AZ7 BB7:BE7">
    <cfRule type="containsText" dxfId="2" priority="7" operator="containsText" text="10/12/xxxx">
      <formula>NOT(ISERROR(SEARCH("10/12/xxxx",B7)))</formula>
    </cfRule>
  </conditionalFormatting>
  <conditionalFormatting sqref="V9:BP9">
    <cfRule type="containsText" dxfId="1" priority="2" operator="containsText" text="10/12/xxxx">
      <formula>NOT(ISERROR(SEARCH("10/12/xxxx",V9)))</formula>
    </cfRule>
  </conditionalFormatting>
  <conditionalFormatting sqref="BQ9:BU9">
    <cfRule type="containsText" dxfId="0" priority="1" operator="containsText" text="10/12/xxxx">
      <formula>NOT(ISERROR(SEARCH("10/12/xxxx",BQ9)))</formula>
    </cfRule>
  </conditionalFormatting>
  <dataValidations count="5">
    <dataValidation allowBlank="1" showInputMessage="1" showErrorMessage="1" prompt="Please input the correct Rehabilitation Area number (RA#)" sqref="E2:K2" xr:uid="{C3E21313-7927-433F-BAD1-2ADE964AEE71}"/>
    <dataValidation allowBlank="1" showInputMessage="1" showErrorMessage="1" promptTitle="Insert Area (ha)" prompt="Please insert the cumulative area achieved in hectares (ha) as required" sqref="C11:Q11 C12:R14 B11:B15 C15:V15" xr:uid="{BBDFE353-BE1C-4D9C-95C5-CDBE1B0BC0B0}"/>
    <dataValidation allowBlank="1" showInputMessage="1" showErrorMessage="1" promptTitle="Insert Date" prompt="Please insert the date the area is available for rehabilitation" sqref="BB7:BE7 B7:AZ7 B9:CE9" xr:uid="{F1C56962-7FEB-44FB-8032-9C093076F7F1}"/>
    <dataValidation allowBlank="1" showInputMessage="1" showErrorMessage="1" promptTitle="Insert Area (ha)" prompt="Please insert the cumulative area available in hectares (ha)" sqref="B8:Q8" xr:uid="{318A402B-1F2F-46DD-B81E-03B656B7BD38}"/>
    <dataValidation allowBlank="1" showInputMessage="1" showErrorMessage="1" promptTitle="Rehabilitation Milestone" prompt="Insert the Rehabilitation Milestone number here (RM#)" sqref="A11:A14" xr:uid="{D4758B5B-5A8D-46A6-968F-E1EB0688199F}"/>
  </dataValidations>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D16"/>
  <sheetViews>
    <sheetView topLeftCell="A6" zoomScale="90" zoomScaleNormal="90" workbookViewId="0">
      <selection activeCell="C8" sqref="C8"/>
    </sheetView>
  </sheetViews>
  <sheetFormatPr defaultRowHeight="15" x14ac:dyDescent="0.25"/>
  <cols>
    <col min="1" max="1" width="22.28515625" customWidth="1"/>
    <col min="2" max="2" width="45.42578125" bestFit="1" customWidth="1"/>
    <col min="3" max="3" width="120.7109375" customWidth="1"/>
    <col min="4" max="4" width="18.140625" customWidth="1"/>
  </cols>
  <sheetData>
    <row r="1" spans="1:4" ht="23.25" customHeight="1" thickBot="1" x14ac:dyDescent="0.3">
      <c r="A1" s="7" t="s">
        <v>6</v>
      </c>
      <c r="B1" s="8" t="s">
        <v>7</v>
      </c>
      <c r="C1" s="9" t="s">
        <v>8</v>
      </c>
    </row>
    <row r="2" spans="1:4" ht="180.75" thickBot="1" x14ac:dyDescent="0.3">
      <c r="A2" s="5" t="s">
        <v>9</v>
      </c>
      <c r="B2" s="10" t="s">
        <v>161</v>
      </c>
      <c r="C2" s="22" t="s">
        <v>170</v>
      </c>
    </row>
    <row r="3" spans="1:4" ht="135.75" thickBot="1" x14ac:dyDescent="0.3">
      <c r="A3" s="5" t="s">
        <v>10</v>
      </c>
      <c r="B3" s="10" t="s">
        <v>162</v>
      </c>
      <c r="C3" s="24" t="s">
        <v>171</v>
      </c>
    </row>
    <row r="4" spans="1:4" ht="105.75" thickBot="1" x14ac:dyDescent="0.3">
      <c r="A4" s="5" t="s">
        <v>11</v>
      </c>
      <c r="B4" s="10" t="s">
        <v>163</v>
      </c>
      <c r="C4" s="22" t="s">
        <v>174</v>
      </c>
    </row>
    <row r="5" spans="1:4" ht="30.75" thickBot="1" x14ac:dyDescent="0.3">
      <c r="A5" s="5" t="s">
        <v>12</v>
      </c>
      <c r="B5" s="10" t="s">
        <v>164</v>
      </c>
      <c r="C5" s="22" t="s">
        <v>154</v>
      </c>
    </row>
    <row r="6" spans="1:4" ht="214.5" customHeight="1" thickBot="1" x14ac:dyDescent="0.3">
      <c r="A6" s="25" t="s">
        <v>13</v>
      </c>
      <c r="B6" s="10" t="s">
        <v>165</v>
      </c>
      <c r="C6" s="22" t="s">
        <v>175</v>
      </c>
    </row>
    <row r="7" spans="1:4" ht="45.75" thickBot="1" x14ac:dyDescent="0.3">
      <c r="A7" s="25" t="s">
        <v>16</v>
      </c>
      <c r="B7" s="10" t="s">
        <v>166</v>
      </c>
      <c r="C7" s="22" t="s">
        <v>176</v>
      </c>
    </row>
    <row r="8" spans="1:4" ht="135.75" thickBot="1" x14ac:dyDescent="0.3">
      <c r="A8" s="5" t="s">
        <v>17</v>
      </c>
      <c r="B8" s="27" t="s">
        <v>167</v>
      </c>
      <c r="C8" s="22" t="s">
        <v>527</v>
      </c>
    </row>
    <row r="9" spans="1:4" ht="105.75" thickBot="1" x14ac:dyDescent="0.3">
      <c r="A9" s="5" t="s">
        <v>39</v>
      </c>
      <c r="B9" s="10" t="s">
        <v>168</v>
      </c>
      <c r="C9" s="22" t="s">
        <v>528</v>
      </c>
      <c r="D9" s="31"/>
    </row>
    <row r="10" spans="1:4" ht="60.75" thickBot="1" x14ac:dyDescent="0.3">
      <c r="A10" s="6" t="s">
        <v>42</v>
      </c>
      <c r="B10" s="23" t="s">
        <v>169</v>
      </c>
      <c r="C10" s="28" t="s">
        <v>172</v>
      </c>
      <c r="D10" s="31"/>
    </row>
    <row r="11" spans="1:4" ht="330.75" thickBot="1" x14ac:dyDescent="0.3">
      <c r="A11" s="5" t="s">
        <v>146</v>
      </c>
      <c r="B11" s="10" t="s">
        <v>147</v>
      </c>
      <c r="C11" s="40" t="s">
        <v>177</v>
      </c>
      <c r="D11" s="31"/>
    </row>
    <row r="12" spans="1:4" ht="195" x14ac:dyDescent="0.25">
      <c r="A12" s="6" t="s">
        <v>173</v>
      </c>
      <c r="B12" s="23"/>
      <c r="C12" s="41" t="s">
        <v>178</v>
      </c>
    </row>
    <row r="13" spans="1:4" ht="15.75" thickBot="1" x14ac:dyDescent="0.3"/>
    <row r="14" spans="1:4" x14ac:dyDescent="0.25">
      <c r="A14" s="82" t="s">
        <v>19</v>
      </c>
      <c r="B14" s="83"/>
      <c r="C14" s="84"/>
    </row>
    <row r="15" spans="1:4" x14ac:dyDescent="0.25">
      <c r="A15" s="74" t="s">
        <v>40</v>
      </c>
      <c r="B15" s="75"/>
      <c r="C15" s="76"/>
    </row>
    <row r="16" spans="1:4" ht="15.75" thickBot="1" x14ac:dyDescent="0.3">
      <c r="A16" s="77" t="s">
        <v>18</v>
      </c>
      <c r="B16" s="78"/>
      <c r="C16" s="79"/>
    </row>
  </sheetData>
  <mergeCells count="3">
    <mergeCell ref="A14:C14"/>
    <mergeCell ref="A15:C15"/>
    <mergeCell ref="A16:C16"/>
  </mergeCells>
  <pageMargins left="0.7" right="0.7" top="0.75" bottom="0.75" header="0.3" footer="0.3"/>
  <pageSetup paperSize="9" scale="29" fitToWidth="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heme xmlns="a6eb6d0f-3f21-4dd7-afed-8d5f3983301e">226</Theme>
    <LastReviewed xmlns="a6eb6d0f-3f21-4dd7-afed-8d5f3983301e">2019-10-31T14:00:00+00:00</LastReviewed>
    <DocumentType xmlns="a6eb6d0f-3f21-4dd7-afed-8d5f3983301e">19</DocumentType>
    <Description0 xmlns="a6eb6d0f-3f21-4dd7-afed-8d5f3983301e">This form can be used for completing a PRCP schedule for the submission of a PRC plan.</Description0>
    <ReviewCycle xmlns="a6eb6d0f-3f21-4dd7-afed-8d5f3983301e">1 year</ReviewCycle>
    <ReviewDate xmlns="a6eb6d0f-3f21-4dd7-afed-8d5f3983301e">2020-10-31T14:00:00+00:00</ReviewDate>
    <InternetPresenceType xmlns="a6eb6d0f-3f21-4dd7-afed-8d5f3983301e">3</InternetPresenceType>
    <EndorsedDate xmlns="a6eb6d0f-3f21-4dd7-afed-8d5f3983301e">2019-10-31T14:00:00+00:00</EndorsedDate>
    <BusLevelChoice xmlns="a6eb6d0f-3f21-4dd7-afed-8d5f3983301e">ESR</BusLevelChoice>
    <Legislation xmlns="a6eb6d0f-3f21-4dd7-afed-8d5f3983301e" xsi:nil="true"/>
    <eDRMSReference xmlns="a6eb6d0f-3f21-4dd7-afed-8d5f3983301e" xsi:nil="true"/>
    <Status xmlns="a6eb6d0f-3f21-4dd7-afed-8d5f3983301e">1</Status>
    <DocumentVersion xmlns="a6eb6d0f-3f21-4dd7-afed-8d5f3983301e">1</DocumentVersion>
    <CTS_x002d_MECSReference xmlns="a6eb6d0f-3f21-4dd7-afed-8d5f3983301e" xsi:nil="true"/>
    <Comment xmlns="a6eb6d0f-3f21-4dd7-afed-8d5f3983301e" xsi:nil="true"/>
    <BusinessAreaUnit xmlns="a6eb6d0f-3f21-4dd7-afed-8d5f3983301e">40</BusinessAreaUnit>
    <Old_x002d_PR_x002d_Reference xmlns="a6eb6d0f-3f21-4dd7-afed-8d5f3983301e" xsi:nil="true"/>
    <FileReference xmlns="a6eb6d0f-3f21-4dd7-afed-8d5f3983301e">E:\EO_CSG Policy\Document Management System\Document updates\ESR-2019-5103</FileReference>
    <_dlc_DocId xmlns="36c4576f-a6df-4ec9-86f2-9e3472ddee8f">POLICY-7-5103</_dlc_DocId>
    <_dlc_DocIdUrl xmlns="36c4576f-a6df-4ec9-86f2-9e3472ddee8f">
      <Url>https://itpqld.sharepoint.com/sites/SPO-DAF-ITP-IM-IS/PR/_layouts/15/DocIdRedir.aspx?ID=POLICY-7-5103</Url>
      <Description>POLICY-7-5103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89F9ED3AA73E4AA540DC49247935BF" ma:contentTypeVersion="36" ma:contentTypeDescription="Create a new document." ma:contentTypeScope="" ma:versionID="6f46ed8aec0ed566aa80573a2b2d17f3">
  <xsd:schema xmlns:xsd="http://www.w3.org/2001/XMLSchema" xmlns:xs="http://www.w3.org/2001/XMLSchema" xmlns:p="http://schemas.microsoft.com/office/2006/metadata/properties" xmlns:ns2="a6eb6d0f-3f21-4dd7-afed-8d5f3983301e" xmlns:ns3="36c4576f-a6df-4ec9-86f2-9e3472ddee8f" xmlns:ns4="2782494e-2240-44a0-8d37-a0cdd89a0522" targetNamespace="http://schemas.microsoft.com/office/2006/metadata/properties" ma:root="true" ma:fieldsID="db2760e5fe312e0c8b909267511a52a2" ns2:_="" ns3:_="" ns4:_="">
    <xsd:import namespace="a6eb6d0f-3f21-4dd7-afed-8d5f3983301e"/>
    <xsd:import namespace="36c4576f-a6df-4ec9-86f2-9e3472ddee8f"/>
    <xsd:import namespace="2782494e-2240-44a0-8d37-a0cdd89a0522"/>
    <xsd:element name="properties">
      <xsd:complexType>
        <xsd:sequence>
          <xsd:element name="documentManagement">
            <xsd:complexType>
              <xsd:all>
                <xsd:element ref="ns2:Description0" minOccurs="0"/>
                <xsd:element ref="ns2:DocumentType"/>
                <xsd:element ref="ns2:Status"/>
                <xsd:element ref="ns2:DocumentVersion"/>
                <xsd:element ref="ns2:Theme"/>
                <xsd:element ref="ns2:EndorsedDate" minOccurs="0"/>
                <xsd:element ref="ns2:LastReviewed"/>
                <xsd:element ref="ns2:ReviewDate"/>
                <xsd:element ref="ns2:ReviewCycle" minOccurs="0"/>
                <xsd:element ref="ns2:InternetPresenceType"/>
                <xsd:element ref="ns2:BusLevelChoice"/>
                <xsd:element ref="ns2:BusinessAreaUnit" minOccurs="0"/>
                <xsd:element ref="ns2:Old_x002d_PR_x002d_Reference" minOccurs="0"/>
                <xsd:element ref="ns2:Legislation" minOccurs="0"/>
                <xsd:element ref="ns2:FileReference" minOccurs="0"/>
                <xsd:element ref="ns2:eDRMSReference" minOccurs="0"/>
                <xsd:element ref="ns2:CTS_x002d_MECSReference" minOccurs="0"/>
                <xsd:element ref="ns2:Comment" minOccurs="0"/>
                <xsd:element ref="ns3:_dlc_DocId" minOccurs="0"/>
                <xsd:element ref="ns3:_dlc_DocIdUrl" minOccurs="0"/>
                <xsd:element ref="ns3:_dlc_DocIdPersistId" minOccurs="0"/>
                <xsd:element ref="ns4:SharedWithUsers" minOccurs="0"/>
                <xsd:element ref="ns4:SharedWithDetails" minOccurs="0"/>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eb6d0f-3f21-4dd7-afed-8d5f3983301e" elementFormDefault="qualified">
    <xsd:import namespace="http://schemas.microsoft.com/office/2006/documentManagement/types"/>
    <xsd:import namespace="http://schemas.microsoft.com/office/infopath/2007/PartnerControls"/>
    <xsd:element name="Description0" ma:index="2" nillable="true" ma:displayName="Subject" ma:internalName="Description0" ma:readOnly="false">
      <xsd:simpleType>
        <xsd:restriction base="dms:Note">
          <xsd:maxLength value="255"/>
        </xsd:restriction>
      </xsd:simpleType>
    </xsd:element>
    <xsd:element name="DocumentType" ma:index="4" ma:displayName="DocumentType" ma:list="{1c9aebb5-866f-4873-a78c-4bc770a8a1c1}" ma:internalName="DocumentType" ma:readOnly="false" ma:showField="Title">
      <xsd:simpleType>
        <xsd:restriction base="dms:Lookup"/>
      </xsd:simpleType>
    </xsd:element>
    <xsd:element name="Status" ma:index="5" ma:displayName="Status" ma:indexed="true" ma:list="{4038537c-e95c-4806-a81b-1f8222e26fec}" ma:internalName="Status" ma:readOnly="false" ma:showField="Title">
      <xsd:simpleType>
        <xsd:restriction base="dms:Lookup"/>
      </xsd:simpleType>
    </xsd:element>
    <xsd:element name="DocumentVersion" ma:index="6" ma:displayName="DocVersion" ma:decimals="2" ma:description="Version number displayed on document (Not SharePoint version number)" ma:internalName="DocumentVersion" ma:readOnly="false" ma:percentage="FALSE">
      <xsd:simpleType>
        <xsd:restriction base="dms:Number">
          <xsd:maxInclusive value="999"/>
        </xsd:restriction>
      </xsd:simpleType>
    </xsd:element>
    <xsd:element name="Theme" ma:index="7" ma:displayName="Theme" ma:indexed="true" ma:list="{440d9290-a79f-4d7d-b666-e2299f9b8423}" ma:internalName="Theme" ma:readOnly="false" ma:showField="Theme">
      <xsd:simpleType>
        <xsd:restriction base="dms:Lookup"/>
      </xsd:simpleType>
    </xsd:element>
    <xsd:element name="EndorsedDate" ma:index="9" nillable="true" ma:displayName="EffectiveDate" ma:description="Effective date for major version of document" ma:format="DateOnly" ma:internalName="EndorsedDate" ma:readOnly="false">
      <xsd:simpleType>
        <xsd:restriction base="dms:DateTime"/>
      </xsd:simpleType>
    </xsd:element>
    <xsd:element name="LastReviewed" ma:index="10" ma:displayName="LastReviewed" ma:format="DateOnly" ma:internalName="LastReviewed" ma:readOnly="false">
      <xsd:simpleType>
        <xsd:restriction base="dms:DateTime"/>
      </xsd:simpleType>
    </xsd:element>
    <xsd:element name="ReviewDate" ma:index="11" ma:displayName="NextReviewDue" ma:format="DateOnly" ma:indexed="true" ma:internalName="ReviewDate" ma:readOnly="false">
      <xsd:simpleType>
        <xsd:restriction base="dms:DateTime"/>
      </xsd:simpleType>
    </xsd:element>
    <xsd:element name="ReviewCycle" ma:index="12" nillable="true" ma:displayName="ReviewCycle" ma:description="Prescribed duration for review of document" ma:format="Dropdown" ma:internalName="ReviewCycle" ma:readOnly="false">
      <xsd:simpleType>
        <xsd:restriction base="dms:Choice">
          <xsd:enumeration value="1 year"/>
          <xsd:enumeration value="1.5 years"/>
          <xsd:enumeration value="2 years"/>
          <xsd:enumeration value="3 years"/>
          <xsd:enumeration value="5 years"/>
          <xsd:enumeration value="10 years"/>
        </xsd:restriction>
      </xsd:simpleType>
    </xsd:element>
    <xsd:element name="InternetPresenceType" ma:index="13" ma:displayName="InternetVisibility" ma:description="Defines what material is published to the departmental Internet site" ma:list="{22773ff3-5370-4583-ae62-5f55be26bc75}" ma:internalName="InternetPresenceType" ma:readOnly="false" ma:showField="Title">
      <xsd:simpleType>
        <xsd:restriction base="dms:Lookup"/>
      </xsd:simpleType>
    </xsd:element>
    <xsd:element name="BusLevelChoice" ma:index="14" ma:displayName="BusinessArea" ma:format="Dropdown" ma:internalName="BusLevelChoice" ma:readOnly="false">
      <xsd:simpleType>
        <xsd:restriction base="dms:Choice">
          <xsd:enumeration value="AGR"/>
          <xsd:enumeration value="ASQ"/>
          <xsd:enumeration value="BQ"/>
          <xsd:enumeration value="CHA"/>
          <xsd:enumeration value="CHB"/>
          <xsd:enumeration value="CHC"/>
          <xsd:enumeration value="CHD"/>
          <xsd:enumeration value="CHE"/>
          <xsd:enumeration value="CSS"/>
          <xsd:enumeration value="ENE"/>
          <xsd:enumeration value="EPP"/>
          <xsd:enumeration value="ESR"/>
          <xsd:enumeration value="FIS"/>
          <xsd:enumeration value="FMPM"/>
          <xsd:enumeration value="GLP"/>
          <xsd:enumeration value="HHQ"/>
          <xsd:enumeration value="IHL"/>
          <xsd:enumeration value="IMP"/>
          <xsd:enumeration value="ITP"/>
          <xsd:enumeration value="LTP"/>
          <xsd:enumeration value="LND"/>
          <xsd:enumeration value="MIN"/>
          <xsd:enumeration value="NCS"/>
          <xsd:enumeration value="NRC"/>
          <xsd:enumeration value="NRO"/>
          <xsd:enumeration value="NTP"/>
          <xsd:enumeration value="ORR"/>
          <xsd:enumeration value="OSW"/>
          <xsd:enumeration value="QPW"/>
          <xsd:enumeration value="QRIC"/>
          <xsd:enumeration value="RSC"/>
          <xsd:enumeration value="RED"/>
          <xsd:enumeration value="SCI"/>
          <xsd:enumeration value="SIG"/>
          <xsd:enumeration value="SLM"/>
          <xsd:enumeration value="UWS"/>
          <xsd:enumeration value="VAL"/>
          <xsd:enumeration value="VEG"/>
          <xsd:enumeration value="WM"/>
          <xsd:enumeration value="WSS"/>
          <xsd:enumeration value="WTM"/>
        </xsd:restriction>
      </xsd:simpleType>
    </xsd:element>
    <xsd:element name="BusinessAreaUnit" ma:index="15" nillable="true" ma:displayName="BusinessAreaSubUnit" ma:list="{53eef7cf-c74c-49eb-9b76-5dd9e1026505}" ma:internalName="BusinessAreaUnit" ma:readOnly="false" ma:showField="Title">
      <xsd:simpleType>
        <xsd:restriction base="dms:Lookup"/>
      </xsd:simpleType>
    </xsd:element>
    <xsd:element name="Old_x002d_PR_x002d_Reference" ma:index="16" nillable="true" ma:displayName="PreviousID" ma:description="Reference or identifier used by a previous system" ma:indexed="true" ma:internalName="Old_x002d_PR_x002d_Reference" ma:readOnly="false">
      <xsd:simpleType>
        <xsd:restriction base="dms:Text">
          <xsd:maxLength value="255"/>
        </xsd:restriction>
      </xsd:simpleType>
    </xsd:element>
    <xsd:element name="Legislation" ma:index="17" nillable="true" ma:displayName="Legislation" ma:description="Select the primary authoritative acts" ma:list="{d8d5934d-cb53-4edc-99dd-c215c0dc88bc}" ma:internalName="Legislation" ma:readOnly="false" ma:showField="Title">
      <xsd:complexType>
        <xsd:complexContent>
          <xsd:extension base="dms:MultiChoiceLookup">
            <xsd:sequence>
              <xsd:element name="Value" type="dms:Lookup" maxOccurs="unbounded" minOccurs="0" nillable="true"/>
            </xsd:sequence>
          </xsd:extension>
        </xsd:complexContent>
      </xsd:complexType>
    </xsd:element>
    <xsd:element name="FileReference" ma:index="18" nillable="true" ma:displayName="NetworkPath" ma:description="Network drive and path for source folder of document file" ma:internalName="FileReference" ma:readOnly="false">
      <xsd:simpleType>
        <xsd:restriction base="dms:Text">
          <xsd:maxLength value="255"/>
        </xsd:restriction>
      </xsd:simpleType>
    </xsd:element>
    <xsd:element name="eDRMSReference" ma:index="19" nillable="true" ma:displayName="eDOCS" ma:format="Dropdown" ma:internalName="eDRMSReference" ma:percentage="FALSE">
      <xsd:simpleType>
        <xsd:restriction base="dms:Number"/>
      </xsd:simpleType>
    </xsd:element>
    <xsd:element name="CTS_x002d_MECSReference" ma:index="20" nillable="true" ma:displayName="CTS-MECSReference" ma:internalName="CTS_x002d_MECSReference" ma:readOnly="false">
      <xsd:simpleType>
        <xsd:restriction base="dms:Text">
          <xsd:maxLength value="1"/>
        </xsd:restriction>
      </xsd:simpleType>
    </xsd:element>
    <xsd:element name="Comment" ma:index="21" nillable="true" ma:displayName="Comment" ma:description="Do not use this field - to be retired" ma:internalName="Comment" ma:readOnly="false">
      <xsd:simpleType>
        <xsd:restriction base="dms:Text">
          <xsd:maxLength value="1"/>
        </xsd:restriction>
      </xsd:simpleType>
    </xsd:element>
    <xsd:element name="MediaServiceMetadata" ma:index="29" nillable="true" ma:displayName="MediaServiceMetadata" ma:hidden="true" ma:internalName="MediaServiceMetadata" ma:readOnly="true">
      <xsd:simpleType>
        <xsd:restriction base="dms:Note"/>
      </xsd:simpleType>
    </xsd:element>
    <xsd:element name="MediaServiceFastMetadata" ma:index="30" nillable="true" ma:displayName="MediaServiceFastMetadata" ma:hidden="true" ma:internalName="MediaServiceFastMetadata" ma:readOnly="true">
      <xsd:simpleType>
        <xsd:restriction base="dms:Note"/>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element name="MediaServiceSearchProperties" ma:index="3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c4576f-a6df-4ec9-86f2-9e3472ddee8f" elementFormDefault="qualified">
    <xsd:import namespace="http://schemas.microsoft.com/office/2006/documentManagement/types"/>
    <xsd:import namespace="http://schemas.microsoft.com/office/infopath/2007/PartnerControls"/>
    <xsd:element name="_dlc_DocId" ma:index="24" nillable="true" ma:displayName="Document ID Value" ma:description="The value of the document ID assigned to this item." ma:indexed="true"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782494e-2240-44a0-8d37-a0cdd89a0522"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3" ma:displayName="Content Type"/>
        <xsd:element ref="dc:title" minOccurs="0" maxOccurs="1" ma:index="1" ma:displayName="Title"/>
        <xsd:element ref="dc:subject" minOccurs="0" maxOccurs="1"/>
        <xsd:element ref="dc:description" minOccurs="0" maxOccurs="1"/>
        <xsd:element name="keywords" maxOccurs="1" ma:index="8" ma:displayName="Keywords">
          <xsd:simpleType xmlns:xs="http://www.w3.org/2001/XMLSchema">
            <xsd:restriction base="xsd:string">
              <xsd:minLength value="1"/>
            </xsd:restriction>
          </xsd:simpleType>
        </xsd:element>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DCE82C-5ED7-4E21-93D6-074FCFCDD1CE}">
  <ds:schemaRefs>
    <ds:schemaRef ds:uri="http://schemas.microsoft.com/sharepoint/events"/>
  </ds:schemaRefs>
</ds:datastoreItem>
</file>

<file path=customXml/itemProps2.xml><?xml version="1.0" encoding="utf-8"?>
<ds:datastoreItem xmlns:ds="http://schemas.openxmlformats.org/officeDocument/2006/customXml" ds:itemID="{7B1A78E5-78C1-43F4-AA77-0C094C81D382}">
  <ds:schemaRefs>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36c4576f-a6df-4ec9-86f2-9e3472ddee8f"/>
    <ds:schemaRef ds:uri="2782494e-2240-44a0-8d37-a0cdd89a0522"/>
    <ds:schemaRef ds:uri="http://schemas.microsoft.com/office/2006/documentManagement/types"/>
    <ds:schemaRef ds:uri="a6eb6d0f-3f21-4dd7-afed-8d5f3983301e"/>
    <ds:schemaRef ds:uri="http://purl.org/dc/dcmitype/"/>
    <ds:schemaRef ds:uri="http://purl.org/dc/terms/"/>
  </ds:schemaRefs>
</ds:datastoreItem>
</file>

<file path=customXml/itemProps3.xml><?xml version="1.0" encoding="utf-8"?>
<ds:datastoreItem xmlns:ds="http://schemas.openxmlformats.org/officeDocument/2006/customXml" ds:itemID="{D7A4D44F-CB17-439D-9F24-E41A1A52EA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eb6d0f-3f21-4dd7-afed-8d5f3983301e"/>
    <ds:schemaRef ds:uri="36c4576f-a6df-4ec9-86f2-9e3472ddee8f"/>
    <ds:schemaRef ds:uri="2782494e-2240-44a0-8d37-a0cdd89a05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F24D023-B226-4652-9F29-E676502757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Instructions</vt:lpstr>
      <vt:lpstr>RA1</vt:lpstr>
      <vt:lpstr>RA2</vt:lpstr>
      <vt:lpstr>RA3</vt:lpstr>
      <vt:lpstr>RA4</vt:lpstr>
      <vt:lpstr>RA5</vt:lpstr>
      <vt:lpstr>RA6</vt:lpstr>
      <vt:lpstr>RA7</vt:lpstr>
      <vt:lpstr>Rehabilitation Area Milestones</vt:lpstr>
      <vt:lpstr>Attachment 1</vt:lpstr>
      <vt:lpstr>Attachment 2</vt:lpstr>
      <vt:lpstr>Attachment 3</vt:lpstr>
      <vt:lpstr>Attachment 4</vt:lpstr>
      <vt:lpstr>Attachment 5</vt:lpstr>
      <vt:lpstr>Attachment 6</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Georgina Ball</cp:lastModifiedBy>
  <cp:lastPrinted>2024-09-26T04:05:38Z</cp:lastPrinted>
  <dcterms:created xsi:type="dcterms:W3CDTF">2019-10-27T23:30:31Z</dcterms:created>
  <dcterms:modified xsi:type="dcterms:W3CDTF">2024-09-26T05:35:48Z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0x010100B989F9ED3AA73E4AA540DC49247935BF</vt:lpwstr>
  </property>
  <property fmtid="{D5CDD505-2E9C-101B-9397-08002B2CF9AE}" pid="3" name="_dlc_DocIdItemGuid">
    <vt:lpwstr>acd81eee-fae5-47e3-9ac4-92d7a3e63995</vt:lpwstr>
  </property>
</Properties>
</file>